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DGaMrp5Xv/USmUZdlmlbYV7RE4/DzC9knZuLbdQuC8qi1d/RBIMsSQLIOtpw8CoXWbGStWWAgIUm6cBEZ9e/g==" workbookSaltValue="tdYy/AqVEvJySxEu/+qr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S13" i="17" s="1"/>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M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AC22" i="20"/>
  <c r="U12" i="11"/>
  <c r="U17" i="11"/>
  <c r="AQ22" i="20"/>
  <c r="W22" i="20"/>
  <c r="U10" i="11"/>
  <c r="W22" i="21"/>
  <c r="AF22" i="20"/>
  <c r="U18" i="11"/>
  <c r="AL22" i="20"/>
  <c r="AE22" i="20"/>
  <c r="AG22" i="20"/>
  <c r="L22" i="20"/>
  <c r="M22" i="20"/>
  <c r="N22" i="20"/>
  <c r="Y22" i="20"/>
  <c r="AA22" i="20"/>
  <c r="AQ22" i="21"/>
  <c r="G14" i="14"/>
  <c r="AW20" i="21" l="1"/>
  <c r="AE21" i="8"/>
  <c r="R21" i="8"/>
  <c r="BG10" i="8"/>
  <c r="K10" i="7" s="1"/>
  <c r="F13" i="2"/>
  <c r="H12" i="2"/>
  <c r="B19" i="6"/>
  <c r="M20" i="2"/>
  <c r="N20" i="2"/>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<sst xmlns="http://schemas.openxmlformats.org/spreadsheetml/2006/main" count="2229" uniqueCount="978">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</sst>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41M2cBK5miPx0VUbZR648E3XaqVjn2MuaZI4jag9nKS1W7ZBk8F4vqa2zrF3N3ilW73V6BMUlssBTU0AqZDGkQ==" saltValue="W6Da3yMlfhwrOZZAEqLU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34</v>
      </c>
      <c r="D10" s="230">
        <f>IF(ISNUMBER(Datos!I10),Datos!I10," - ")</f>
        <v>34</v>
      </c>
      <c r="E10" s="231">
        <f>IF(ISNUMBER(Datos!J10),Datos!J10," - ")</f>
        <v>19</v>
      </c>
      <c r="F10" s="231">
        <f>IF(ISNUMBER(Datos!K10),Datos!K10," - ")</f>
        <v>9</v>
      </c>
      <c r="G10" s="1193" t="str">
        <f>IF(Datos!E10&lt;&gt;"",Datos!E10,Datos!D10)</f>
        <v>37</v>
      </c>
      <c r="H10" s="232">
        <f>IF(ISNUMBER(Datos!L10),Datos!L10," - ")</f>
        <v>44</v>
      </c>
      <c r="I10" s="1203" t="str">
        <f>IF(ISNUMBER(Datos!AS10/Datos!BM10),Datos!AS10/Datos!BM10," - ")</f>
        <v xml:space="preserve"> - </v>
      </c>
      <c r="J10" s="1204">
        <f>IF(ISNUMBER(Datos!BY10/Datos!CN10),Datos!BY10/Datos!CN10," - ")</f>
        <v>0</v>
      </c>
      <c r="K10" s="235">
        <f t="shared" ref="K10:K13" si="1">IF(ISNUMBER((E10-F10)/C10),(E10-F10)/C10," - ")</f>
        <v>0.29411764705882354</v>
      </c>
      <c r="L10" s="1205">
        <f>IF(ISNUMBER(NºAsuntos!I10/NºAsuntos!G10),(NºAsuntos!I10/NºAsuntos!G10)*11," - ")</f>
        <v>53.777777777777786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39.164041994750654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34</v>
      </c>
      <c r="D14" s="1210">
        <f>SUBTOTAL(9,D9:D13)</f>
        <v>34</v>
      </c>
      <c r="E14" s="1211">
        <f>SUBTOTAL(9,E9:E13)</f>
        <v>19</v>
      </c>
      <c r="F14" s="1212">
        <f>SUBTOTAL(9,F9:F13)</f>
        <v>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1779</v>
      </c>
      <c r="D17" s="230">
        <f>IF(ISNUMBER(IF(D_I="SI",Datos!I17,Datos!I17+Datos!AC17)),IF(D_I="SI",Datos!I17,Datos!I17+Datos!AC17)," - ")</f>
        <v>1785</v>
      </c>
      <c r="E17" s="231">
        <f>IF(ISNUMBER(IF(D_I="SI",Datos!J17,Datos!J17+Datos!AD17)),IF(D_I="SI",Datos!J17,Datos!J17+Datos!AD17)," - ")</f>
        <v>1159</v>
      </c>
      <c r="F17" s="231">
        <f>IF(ISNUMBER(IF(D_I="SI",Datos!K17,Datos!K17+Datos!AE17)),IF(D_I="SI",Datos!K17,Datos!K17+Datos!AE17)," - ")</f>
        <v>1181</v>
      </c>
      <c r="G17" s="1193" t="str">
        <f>IF(Datos!E17&lt;&gt;"",Datos!E17,Datos!D17)</f>
        <v>04</v>
      </c>
      <c r="H17" s="232">
        <f>IF(ISNUMBER(IF(D_I="SI",Datos!L17,Datos!L17+Datos!AF17)),IF(D_I="SI",Datos!L17,Datos!L17+Datos!AF17)," - ")</f>
        <v>1757</v>
      </c>
      <c r="I17" s="1203" t="str">
        <f>IF(ISNUMBER(Datos!AS17/Datos!BM17),Datos!AS17/Datos!BM17," - ")</f>
        <v xml:space="preserve"> - </v>
      </c>
      <c r="J17" s="1204">
        <f>IF(ISNUMBER(Datos!BY17/Datos!CN17),Datos!BY17/Datos!CN17," - ")</f>
        <v>0</v>
      </c>
      <c r="K17" s="235">
        <f t="shared" si="3"/>
        <v>-1.2366498032602586E-2</v>
      </c>
      <c r="L17" s="1205">
        <f>IF(ISNUMBER(NºAsuntos!I17/NºAsuntos!G17),(NºAsuntos!I17/NºAsuntos!G17)*11," - ")</f>
        <v>16.364944961896697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241</v>
      </c>
      <c r="D18" s="230">
        <f>IF(ISNUMBER(IF(D_I="SI",Datos!I18,Datos!I18+Datos!AC18)),IF(D_I="SI",Datos!I18,Datos!I18+Datos!AC18)," - ")</f>
        <v>325</v>
      </c>
      <c r="E18" s="231">
        <f>IF(ISNUMBER(IF(D_I="SI",Datos!J18,Datos!J18+Datos!AD18)),IF(D_I="SI",Datos!J18,Datos!J18+Datos!AD18)," - ")</f>
        <v>130</v>
      </c>
      <c r="F18" s="231">
        <f>IF(ISNUMBER(IF(D_I="SI",Datos!K18,Datos!K18+Datos!AE18)),IF(D_I="SI",Datos!K18,Datos!K18+Datos!AE18)," - ")</f>
        <v>95</v>
      </c>
      <c r="G18" s="1193" t="str">
        <f>IF(Datos!E18&lt;&gt;"",Datos!E18,Datos!D18)</f>
        <v>37</v>
      </c>
      <c r="H18" s="232">
        <f>IF(ISNUMBER(IF(D_I="SI",Datos!L18,Datos!L18+Datos!AF18)),IF(D_I="SI",Datos!L18,Datos!L18+Datos!AF18)," - ")</f>
        <v>276</v>
      </c>
      <c r="I18" s="1203" t="str">
        <f>IF(ISNUMBER(Datos!AS18/Datos!BM18),Datos!AS18/Datos!BM18," - ")</f>
        <v xml:space="preserve"> - </v>
      </c>
      <c r="J18" s="1204" t="str">
        <f>IF(ISNUMBER((Datos!BY18+Datos!BZ18)/Datos!CN18),(Datos!BY18+Datos!BZ18)/Datos!CN18," - ")</f>
        <v xml:space="preserve"> - </v>
      </c>
      <c r="K18" s="235">
        <f t="shared" si="3"/>
        <v>0.14522821576763487</v>
      </c>
      <c r="L18" s="1205">
        <f>IF(ISNUMBER(NºAsuntos!I18/NºAsuntos!G18),(NºAsuntos!I18/NºAsuntos!G18)*11," - ")</f>
        <v>31.957894736842107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2020</v>
      </c>
      <c r="D20" s="1210">
        <f>SUBTOTAL(9,D16:D19)</f>
        <v>2110</v>
      </c>
      <c r="E20" s="1211">
        <f>SUBTOTAL(9,E16:E19)</f>
        <v>1289</v>
      </c>
      <c r="F20" s="1211">
        <f>SUBTOTAL(9,F16:F19)</f>
        <v>1276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2054</v>
      </c>
      <c r="D21" s="1232">
        <f>SUBTOTAL(9,D9:D20)</f>
        <v>2144</v>
      </c>
      <c r="E21" s="1233">
        <f>SUBTOTAL(9,E9:E20)</f>
        <v>1308</v>
      </c>
      <c r="F21" s="1233">
        <f>SUBTOTAL(9,F9:F20)</f>
        <v>1285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2c9RFBPViRMTFnSiPrut5pzOP8YdHD2Tdh5Mzo6dyobcCX1FFY593yoypu7BQkmQv+qQcj3QAgcWjkJ4UgDKaQ==" saltValue="XqNxLyrPqhcqjT9Z7AT/4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JU9hI0tsbcxGu4eWDyEurSgQwgIkjueUmvyJ2uxPsDtx8dAuDyezmHcNeHcFYZapF9fkOCq37HNd5ybJ9NDLg==" saltValue="aQjRMZ3eVwX2U9Onekyv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34</v>
      </c>
      <c r="J10" s="186">
        <v>19</v>
      </c>
      <c r="K10" s="186">
        <v>9</v>
      </c>
      <c r="L10" s="186">
        <v>44</v>
      </c>
      <c r="M10" s="186">
        <v>4</v>
      </c>
      <c r="N10" s="186">
        <v>5</v>
      </c>
      <c r="O10" s="186">
        <v>0</v>
      </c>
      <c r="P10" s="186">
        <v>1</v>
      </c>
      <c r="Q10" s="186">
        <v>1</v>
      </c>
      <c r="R10" s="186">
        <v>23</v>
      </c>
      <c r="S10" s="186">
        <v>55</v>
      </c>
      <c r="T10" s="186">
        <v>16</v>
      </c>
      <c r="U10" s="186">
        <v>13</v>
      </c>
      <c r="V10" s="186">
        <v>58</v>
      </c>
      <c r="W10" s="186">
        <v>7</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55</v>
      </c>
      <c r="AZ10" s="131">
        <f t="shared" si="0"/>
        <v>16</v>
      </c>
      <c r="BA10" s="131">
        <f t="shared" si="0"/>
        <v>13</v>
      </c>
      <c r="BB10" s="131">
        <f t="shared" si="0"/>
        <v>58</v>
      </c>
      <c r="BC10" s="127">
        <f t="shared" si="0"/>
        <v>7</v>
      </c>
      <c r="BD10" s="128">
        <f>IF(ISNUMBER(BA10/AZ10),BA10/AZ10," - ")</f>
        <v>0.8125</v>
      </c>
      <c r="BE10" s="129">
        <f>IF(ISNUMBER(BB10/BA10),BB10/BA10, " - ")</f>
        <v>4.4615384615384617</v>
      </c>
      <c r="BF10" s="129">
        <f>IF(ISNUMBER(BC10/BA10),BC10/BA10, " - ")</f>
        <v>0.53846153846153844</v>
      </c>
      <c r="BG10" s="201">
        <f>IF(ISNUMBER((AY10+AZ10)/BA10),(AY10+AZ10)/BA10," - ")</f>
        <v>5.4615384615384617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2418</v>
      </c>
      <c r="J12" s="188">
        <v>832</v>
      </c>
      <c r="K12" s="188">
        <v>660</v>
      </c>
      <c r="L12" s="188">
        <v>2561</v>
      </c>
      <c r="M12" s="188">
        <v>155</v>
      </c>
      <c r="N12" s="188">
        <v>328</v>
      </c>
      <c r="O12" s="186">
        <v>391</v>
      </c>
      <c r="P12" s="188">
        <v>250</v>
      </c>
      <c r="Q12" s="188">
        <v>207</v>
      </c>
      <c r="R12" s="188">
        <v>3761</v>
      </c>
      <c r="S12" s="188">
        <v>1948</v>
      </c>
      <c r="T12" s="188">
        <v>862</v>
      </c>
      <c r="U12" s="188">
        <v>889</v>
      </c>
      <c r="V12" s="188">
        <v>1943</v>
      </c>
      <c r="W12" s="188">
        <v>294</v>
      </c>
      <c r="X12" s="194">
        <v>380</v>
      </c>
      <c r="Y12" s="196">
        <v>145</v>
      </c>
      <c r="Z12" s="186">
        <v>109</v>
      </c>
      <c r="AA12" s="186">
        <v>102</v>
      </c>
      <c r="AB12" s="186">
        <v>152</v>
      </c>
      <c r="AC12" s="188">
        <v>0</v>
      </c>
      <c r="AD12" s="188">
        <v>0</v>
      </c>
      <c r="AE12" s="188">
        <v>0</v>
      </c>
      <c r="AF12" s="194">
        <v>0</v>
      </c>
      <c r="AG12" s="207">
        <v>153</v>
      </c>
      <c r="AH12" s="188">
        <v>109</v>
      </c>
      <c r="AI12" s="188">
        <v>128</v>
      </c>
      <c r="AJ12" s="208">
        <v>116</v>
      </c>
      <c r="AK12" s="187">
        <v>0</v>
      </c>
      <c r="AL12" s="188">
        <v>0</v>
      </c>
      <c r="AM12" s="188">
        <v>0</v>
      </c>
      <c r="AN12" s="194">
        <v>0</v>
      </c>
      <c r="AO12" s="264">
        <v>5</v>
      </c>
      <c r="AP12" s="160">
        <v>5</v>
      </c>
      <c r="AQ12" s="160">
        <v>5</v>
      </c>
      <c r="AR12" s="159">
        <v>5</v>
      </c>
      <c r="AS12" s="350" t="s">
        <v>874</v>
      </c>
      <c r="AT12" s="208"/>
      <c r="AU12" s="207"/>
      <c r="AV12" s="208"/>
      <c r="AW12" s="207"/>
      <c r="AX12" s="208"/>
      <c r="AY12" s="128">
        <f t="shared" si="1"/>
        <v>2101</v>
      </c>
      <c r="AZ12" s="129">
        <f t="shared" si="1"/>
        <v>971</v>
      </c>
      <c r="BA12" s="129">
        <f t="shared" si="1"/>
        <v>1017</v>
      </c>
      <c r="BB12" s="129">
        <f t="shared" si="1"/>
        <v>2059</v>
      </c>
      <c r="BC12" s="127">
        <f>IF(ISNUMBER(X12),X12," - ")</f>
        <v>380</v>
      </c>
      <c r="BD12" s="128">
        <f t="shared" si="2"/>
        <v>1.047373841400618</v>
      </c>
      <c r="BE12" s="129">
        <f t="shared" si="3"/>
        <v>2.0245821042281218</v>
      </c>
      <c r="BF12" s="129">
        <f t="shared" si="4"/>
        <v>0.37364798426745327</v>
      </c>
      <c r="BG12" s="201">
        <f t="shared" si="5"/>
        <v>3.0206489675516224</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2452</v>
      </c>
      <c r="J14" s="189">
        <f t="shared" si="7"/>
        <v>851</v>
      </c>
      <c r="K14" s="189">
        <f t="shared" si="7"/>
        <v>669</v>
      </c>
      <c r="L14" s="189">
        <f t="shared" si="7"/>
        <v>2605</v>
      </c>
      <c r="M14" s="189">
        <f t="shared" si="7"/>
        <v>159</v>
      </c>
      <c r="N14" s="189">
        <f t="shared" si="7"/>
        <v>333</v>
      </c>
      <c r="O14" s="189">
        <f t="shared" si="7"/>
        <v>391</v>
      </c>
      <c r="P14" s="189">
        <f t="shared" si="7"/>
        <v>251</v>
      </c>
      <c r="Q14" s="189">
        <f t="shared" si="7"/>
        <v>208</v>
      </c>
      <c r="R14" s="189">
        <f t="shared" si="7"/>
        <v>3784</v>
      </c>
      <c r="S14" s="189">
        <f t="shared" si="7"/>
        <v>2003</v>
      </c>
      <c r="T14" s="189">
        <f t="shared" si="7"/>
        <v>878</v>
      </c>
      <c r="U14" s="189">
        <f t="shared" si="7"/>
        <v>902</v>
      </c>
      <c r="V14" s="189">
        <f t="shared" si="7"/>
        <v>2001</v>
      </c>
      <c r="W14" s="189">
        <f t="shared" si="7"/>
        <v>301</v>
      </c>
      <c r="X14" s="189">
        <f t="shared" si="7"/>
        <v>380</v>
      </c>
      <c r="Y14" s="189">
        <f t="shared" si="7"/>
        <v>145</v>
      </c>
      <c r="Z14" s="189">
        <f t="shared" si="7"/>
        <v>109</v>
      </c>
      <c r="AA14" s="189">
        <f t="shared" si="7"/>
        <v>102</v>
      </c>
      <c r="AB14" s="189">
        <f t="shared" si="7"/>
        <v>152</v>
      </c>
      <c r="AC14" s="189">
        <f t="shared" si="7"/>
        <v>0</v>
      </c>
      <c r="AD14" s="189">
        <f t="shared" si="7"/>
        <v>0</v>
      </c>
      <c r="AE14" s="189">
        <f t="shared" si="7"/>
        <v>0</v>
      </c>
      <c r="AF14" s="189">
        <f>SUBTOTAL(9,AF9:AF13)</f>
        <v>0</v>
      </c>
      <c r="AG14" s="189">
        <f t="shared" ref="AG14:AT14" si="8">SUBTOTAL(9,AG8:AG13)</f>
        <v>153</v>
      </c>
      <c r="AH14" s="189">
        <f t="shared" si="8"/>
        <v>109</v>
      </c>
      <c r="AI14" s="189">
        <f t="shared" si="8"/>
        <v>128</v>
      </c>
      <c r="AJ14" s="189">
        <f t="shared" si="8"/>
        <v>116</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2156</v>
      </c>
      <c r="AZ14" s="189">
        <f>SUBTOTAL(9,AZ8:AZ13)</f>
        <v>987</v>
      </c>
      <c r="BA14" s="189">
        <f>SUBTOTAL(9,BA8:BA13)</f>
        <v>1030</v>
      </c>
      <c r="BB14" s="189">
        <f>SUBTOTAL(9,BB8:BB13)</f>
        <v>2117</v>
      </c>
      <c r="BC14" s="189">
        <f>SUBTOTAL(9,BC8:BC13)</f>
        <v>387</v>
      </c>
      <c r="BD14" s="210">
        <f>IF(ISNUMBER(BA14/AZ14),BA14/AZ14," - ")</f>
        <v>1.0435663627152989</v>
      </c>
      <c r="BE14" s="211">
        <f>IF(ISNUMBER(BB14/BA14),BB14/BA14, " - ")</f>
        <v>2.0553398058252426</v>
      </c>
      <c r="BF14" s="211">
        <f>IF(ISNUMBER(BC14/BA14),BC14/BA14, " - ")</f>
        <v>0.3757281553398058</v>
      </c>
      <c r="BG14" s="212">
        <f>IF(ISNUMBER((AY14+AZ14)/BA14),(AY14+AZ14)/BA14," - ")</f>
        <v>3.0514563106796118</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1785</v>
      </c>
      <c r="J17" s="188">
        <v>1159</v>
      </c>
      <c r="K17" s="188">
        <v>1181</v>
      </c>
      <c r="L17" s="188">
        <v>1757</v>
      </c>
      <c r="M17" s="188">
        <v>113</v>
      </c>
      <c r="N17" s="188">
        <v>824</v>
      </c>
      <c r="O17" s="186">
        <v>9</v>
      </c>
      <c r="P17" s="188">
        <v>40</v>
      </c>
      <c r="Q17" s="188">
        <v>36</v>
      </c>
      <c r="R17" s="188">
        <v>193</v>
      </c>
      <c r="S17" s="188">
        <v>1306</v>
      </c>
      <c r="T17" s="188">
        <v>1004</v>
      </c>
      <c r="U17" s="188">
        <v>903</v>
      </c>
      <c r="V17" s="188">
        <v>1332</v>
      </c>
      <c r="W17" s="188">
        <v>151</v>
      </c>
      <c r="X17" s="194">
        <v>533</v>
      </c>
      <c r="Y17" s="207">
        <v>0</v>
      </c>
      <c r="Z17" s="188">
        <v>0</v>
      </c>
      <c r="AA17" s="188">
        <v>0</v>
      </c>
      <c r="AB17" s="188">
        <v>0</v>
      </c>
      <c r="AC17" s="188">
        <v>1</v>
      </c>
      <c r="AD17" s="188">
        <v>7</v>
      </c>
      <c r="AE17" s="188">
        <v>8</v>
      </c>
      <c r="AF17" s="194">
        <v>0</v>
      </c>
      <c r="AG17" s="207">
        <v>0</v>
      </c>
      <c r="AH17" s="188">
        <v>0</v>
      </c>
      <c r="AI17" s="188">
        <v>0</v>
      </c>
      <c r="AJ17" s="208">
        <v>0</v>
      </c>
      <c r="AK17" s="187">
        <v>0</v>
      </c>
      <c r="AL17" s="188">
        <v>13</v>
      </c>
      <c r="AM17" s="188">
        <v>13</v>
      </c>
      <c r="AN17" s="194">
        <v>0</v>
      </c>
      <c r="AO17" s="264">
        <v>5</v>
      </c>
      <c r="AP17" s="160">
        <v>5</v>
      </c>
      <c r="AQ17" s="160">
        <v>5</v>
      </c>
      <c r="AR17" s="160">
        <v>5</v>
      </c>
      <c r="AS17" s="350" t="s">
        <v>545</v>
      </c>
      <c r="AT17" s="208"/>
      <c r="AU17" s="207"/>
      <c r="AV17" s="208"/>
      <c r="AW17" s="207"/>
      <c r="AX17" s="208"/>
      <c r="AY17" s="128">
        <f t="shared" si="10"/>
        <v>1306</v>
      </c>
      <c r="AZ17" s="129">
        <f t="shared" si="10"/>
        <v>1004</v>
      </c>
      <c r="BA17" s="129">
        <f t="shared" si="10"/>
        <v>903</v>
      </c>
      <c r="BB17" s="129">
        <f t="shared" si="10"/>
        <v>1332</v>
      </c>
      <c r="BC17" s="127">
        <f>IF(ISNUMBER(W17),W17," - ")</f>
        <v>151</v>
      </c>
      <c r="BD17" s="128">
        <f t="shared" ref="BD17:BD19" si="12">IF(ISNUMBER(BA17/AZ17),BA17/AZ17," - ")</f>
        <v>0.89940239043824699</v>
      </c>
      <c r="BE17" s="129">
        <f t="shared" ref="BE17:BE19" si="13">IF(ISNUMBER(BB17/BA17),BB17/BA17, " - ")</f>
        <v>1.4750830564784052</v>
      </c>
      <c r="BF17" s="129">
        <f t="shared" ref="BF17:BF19" si="14">IF(ISNUMBER(BC17/BA17),BC17/BA17, " - ")</f>
        <v>0.16722037652270211</v>
      </c>
      <c r="BG17" s="201">
        <f t="shared" si="11"/>
        <v>2.558139534883721</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325</v>
      </c>
      <c r="J18" s="188">
        <v>130</v>
      </c>
      <c r="K18" s="188">
        <v>95</v>
      </c>
      <c r="L18" s="188">
        <v>276</v>
      </c>
      <c r="M18" s="188">
        <v>11</v>
      </c>
      <c r="N18" s="188">
        <v>68</v>
      </c>
      <c r="O18" s="188">
        <v>0</v>
      </c>
      <c r="P18" s="188">
        <v>1</v>
      </c>
      <c r="Q18" s="188">
        <v>1</v>
      </c>
      <c r="R18" s="188">
        <v>20</v>
      </c>
      <c r="S18" s="188">
        <v>210</v>
      </c>
      <c r="T18" s="188">
        <v>89</v>
      </c>
      <c r="U18" s="188">
        <v>94</v>
      </c>
      <c r="V18" s="188">
        <v>206</v>
      </c>
      <c r="W18" s="188">
        <v>5</v>
      </c>
      <c r="X18" s="194">
        <v>68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210</v>
      </c>
      <c r="AZ18" s="131">
        <f t="shared" si="15"/>
        <v>89</v>
      </c>
      <c r="BA18" s="131">
        <f t="shared" si="15"/>
        <v>94</v>
      </c>
      <c r="BB18" s="131">
        <f t="shared" si="15"/>
        <v>206</v>
      </c>
      <c r="BC18" s="127">
        <f>IF(ISNUMBER(W18),W18," - ")</f>
        <v>5</v>
      </c>
      <c r="BD18" s="128">
        <f>IF(ISNUMBER(BA18/AZ18),BA18/AZ18," - ")</f>
        <v>1.0561797752808988</v>
      </c>
      <c r="BE18" s="129">
        <f>IF(ISNUMBER(BB18/BA18),BB18/BA18, " - ")</f>
        <v>2.1914893617021276</v>
      </c>
      <c r="BF18" s="129">
        <f>IF(ISNUMBER(BC18/BA18),BC18/BA18, " - ")</f>
        <v>5.3191489361702128E-2</v>
      </c>
      <c r="BG18" s="201">
        <f>IF(ISNUMBER((AY18+AZ18)/BA18),(AY18+AZ18)/BA18," - ")</f>
        <v>3.1808510638297873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2110</v>
      </c>
      <c r="J20" s="189">
        <f t="shared" si="16"/>
        <v>1289</v>
      </c>
      <c r="K20" s="189">
        <f t="shared" si="16"/>
        <v>1276</v>
      </c>
      <c r="L20" s="189">
        <f t="shared" si="16"/>
        <v>2033</v>
      </c>
      <c r="M20" s="189">
        <f t="shared" si="16"/>
        <v>124</v>
      </c>
      <c r="N20" s="189">
        <f t="shared" si="16"/>
        <v>892</v>
      </c>
      <c r="O20" s="189">
        <f t="shared" si="16"/>
        <v>9</v>
      </c>
      <c r="P20" s="189">
        <f t="shared" si="16"/>
        <v>41</v>
      </c>
      <c r="Q20" s="189">
        <f t="shared" si="16"/>
        <v>37</v>
      </c>
      <c r="R20" s="189">
        <f t="shared" si="16"/>
        <v>213</v>
      </c>
      <c r="S20" s="189">
        <f t="shared" si="16"/>
        <v>1516</v>
      </c>
      <c r="T20" s="189">
        <f t="shared" si="16"/>
        <v>1093</v>
      </c>
      <c r="U20" s="189">
        <f t="shared" si="16"/>
        <v>997</v>
      </c>
      <c r="V20" s="189">
        <f t="shared" si="16"/>
        <v>1538</v>
      </c>
      <c r="W20" s="189">
        <f t="shared" si="16"/>
        <v>156</v>
      </c>
      <c r="X20" s="189">
        <f t="shared" si="16"/>
        <v>601</v>
      </c>
      <c r="Y20" s="189">
        <f t="shared" si="16"/>
        <v>0</v>
      </c>
      <c r="Z20" s="189">
        <f t="shared" si="16"/>
        <v>0</v>
      </c>
      <c r="AA20" s="189">
        <f t="shared" si="16"/>
        <v>0</v>
      </c>
      <c r="AB20" s="189">
        <f t="shared" si="16"/>
        <v>0</v>
      </c>
      <c r="AC20" s="189">
        <f t="shared" si="16"/>
        <v>1</v>
      </c>
      <c r="AD20" s="189">
        <f t="shared" si="16"/>
        <v>7</v>
      </c>
      <c r="AE20" s="189">
        <f t="shared" si="16"/>
        <v>8</v>
      </c>
      <c r="AF20" s="189">
        <f t="shared" si="16"/>
        <v>0</v>
      </c>
      <c r="AG20" s="189">
        <f t="shared" si="16"/>
        <v>0</v>
      </c>
      <c r="AH20" s="189">
        <f t="shared" si="16"/>
        <v>0</v>
      </c>
      <c r="AI20" s="189">
        <f t="shared" si="16"/>
        <v>0</v>
      </c>
      <c r="AJ20" s="189">
        <f t="shared" si="16"/>
        <v>0</v>
      </c>
      <c r="AK20" s="189">
        <f t="shared" si="16"/>
        <v>0</v>
      </c>
      <c r="AL20" s="189">
        <f t="shared" si="16"/>
        <v>13</v>
      </c>
      <c r="AM20" s="189">
        <f t="shared" si="16"/>
        <v>13</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1516</v>
      </c>
      <c r="AZ20" s="189">
        <f>SUBTOTAL(9,AZ15:AZ19)</f>
        <v>1093</v>
      </c>
      <c r="BA20" s="189">
        <f>SUBTOTAL(9,BA15:BA19)</f>
        <v>997</v>
      </c>
      <c r="BB20" s="189">
        <f>SUBTOTAL(9,BB15:BB19)</f>
        <v>1538</v>
      </c>
      <c r="BC20" s="189">
        <f>SUBTOTAL(9,BC15:BC19)</f>
        <v>156</v>
      </c>
      <c r="BD20" s="210">
        <f>IF(ISNUMBER(BA20/AZ20),BA20/AZ20," - ")</f>
        <v>0.91216834400731928</v>
      </c>
      <c r="BE20" s="211">
        <f>IF(ISNUMBER(BB20/BA20),BB20/BA20, " - ")</f>
        <v>1.5426278836509528</v>
      </c>
      <c r="BF20" s="211">
        <f>IF(ISNUMBER(BC20/BA20),BC20/BA20, " - ")</f>
        <v>0.15646940822467403</v>
      </c>
      <c r="BG20" s="212">
        <f>IF(ISNUMBER((AY20+AZ20)/BA20),(AY20+AZ20)/BA20," - ")</f>
        <v>2.6168505516549647</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4562</v>
      </c>
      <c r="J21" s="136">
        <f t="shared" si="19"/>
        <v>2140</v>
      </c>
      <c r="K21" s="136">
        <f t="shared" si="19"/>
        <v>1945</v>
      </c>
      <c r="L21" s="136">
        <f t="shared" si="19"/>
        <v>4638</v>
      </c>
      <c r="M21" s="136">
        <f t="shared" si="19"/>
        <v>283</v>
      </c>
      <c r="N21" s="136">
        <f t="shared" si="19"/>
        <v>1225</v>
      </c>
      <c r="O21" s="136">
        <f t="shared" si="19"/>
        <v>400</v>
      </c>
      <c r="P21" s="136">
        <f t="shared" si="19"/>
        <v>292</v>
      </c>
      <c r="Q21" s="136">
        <f t="shared" si="19"/>
        <v>245</v>
      </c>
      <c r="R21" s="136">
        <f t="shared" si="19"/>
        <v>3997</v>
      </c>
      <c r="S21" s="136">
        <f t="shared" si="19"/>
        <v>3519</v>
      </c>
      <c r="T21" s="136">
        <f t="shared" si="19"/>
        <v>1971</v>
      </c>
      <c r="U21" s="136">
        <f t="shared" si="19"/>
        <v>1899</v>
      </c>
      <c r="V21" s="136">
        <f t="shared" si="19"/>
        <v>3539</v>
      </c>
      <c r="W21" s="136">
        <f t="shared" si="19"/>
        <v>457</v>
      </c>
      <c r="X21" s="136">
        <f t="shared" si="19"/>
        <v>981</v>
      </c>
      <c r="Y21" s="136">
        <f t="shared" si="19"/>
        <v>145</v>
      </c>
      <c r="Z21" s="136">
        <f t="shared" si="19"/>
        <v>109</v>
      </c>
      <c r="AA21" s="136">
        <f t="shared" si="19"/>
        <v>102</v>
      </c>
      <c r="AB21" s="136">
        <f t="shared" si="19"/>
        <v>152</v>
      </c>
      <c r="AC21" s="136">
        <f t="shared" si="19"/>
        <v>1</v>
      </c>
      <c r="AD21" s="136">
        <f t="shared" si="19"/>
        <v>7</v>
      </c>
      <c r="AE21" s="136">
        <f t="shared" si="19"/>
        <v>8</v>
      </c>
      <c r="AF21" s="136">
        <f t="shared" si="19"/>
        <v>0</v>
      </c>
      <c r="AG21" s="136">
        <f t="shared" si="19"/>
        <v>153</v>
      </c>
      <c r="AH21" s="136">
        <f t="shared" si="19"/>
        <v>109</v>
      </c>
      <c r="AI21" s="136">
        <f t="shared" si="19"/>
        <v>128</v>
      </c>
      <c r="AJ21" s="136">
        <f t="shared" si="19"/>
        <v>116</v>
      </c>
      <c r="AK21" s="136">
        <f t="shared" si="19"/>
        <v>0</v>
      </c>
      <c r="AL21" s="136">
        <f t="shared" si="19"/>
        <v>13</v>
      </c>
      <c r="AM21" s="136">
        <f t="shared" si="19"/>
        <v>13</v>
      </c>
      <c r="AN21" s="215">
        <f t="shared" si="19"/>
        <v>0</v>
      </c>
      <c r="AO21" s="216">
        <v>6</v>
      </c>
      <c r="AP21" s="216">
        <v>5</v>
      </c>
      <c r="AQ21" s="216">
        <v>5</v>
      </c>
      <c r="AR21" s="216">
        <v>5</v>
      </c>
      <c r="AS21" s="158">
        <f t="shared" si="19"/>
        <v>0</v>
      </c>
      <c r="AT21" s="158">
        <f t="shared" si="19"/>
        <v>0</v>
      </c>
      <c r="AU21" s="216"/>
      <c r="AV21" s="217"/>
      <c r="AW21" s="216"/>
      <c r="AX21" s="217"/>
      <c r="AY21" s="135">
        <f>SUBTOTAL(9,AY9:AY20)</f>
        <v>3672</v>
      </c>
      <c r="AZ21" s="136">
        <f>SUBTOTAL(9,AZ9:AZ20)</f>
        <v>2080</v>
      </c>
      <c r="BA21" s="136">
        <f>SUBTOTAL(9,BA9:BA20)</f>
        <v>2027</v>
      </c>
      <c r="BB21" s="136">
        <f>SUBTOTAL(9,BB9:BB20)</f>
        <v>3655</v>
      </c>
      <c r="BC21" s="137">
        <f>SUBTOTAL(9,BC9:BC20)</f>
        <v>543</v>
      </c>
      <c r="BD21" s="218">
        <f>IF(ISNUMBER(BA21/AZ21),BA21/AZ21," - ")</f>
        <v>0.97451923076923075</v>
      </c>
      <c r="BE21" s="215">
        <f>IF(ISNUMBER(BB21/BA21),BB21/BA21, " - ")</f>
        <v>1.8031573754316723</v>
      </c>
      <c r="BF21" s="215">
        <f>IF(ISNUMBER(BC21/BA21),BC21/BA21, " - ")</f>
        <v>0.26788357178095706</v>
      </c>
      <c r="BG21" s="137">
        <f>IF(ISNUMBER((AY21+AZ21)/BA21),(AY21+AZ21)/BA21," - ")</f>
        <v>2.8376911692155895</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cPLsfZa2ZAyOdCi4KpRx1V79x19zT/Gjkg+H9HyTi8Pyn8zuDwhFeRR0s8Y2fKX/UPhLUjwA66ZGYQMkCmbJQ==" saltValue="H1aDcSZNEBrVR0lwS/8r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08EijAo4F7CBONbZTV1eGMj1GFQJL6APL7yiieYRj7dSHSmp+CDsBX0pGN6DPyOVPu0yTsqgR6GksQr3unl2w==" saltValue="AeZYop8M4iCyhlSADt4C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AVILA  Resumenes por Partidos Judiciales  AVILA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34</v>
      </c>
      <c r="G10" s="498">
        <f>IF(ISNUMBER(Datos!I10),Datos!I10," - ")</f>
        <v>34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v>
      </c>
      <c r="AC10" s="502">
        <f>IF(ISNUMBER(Datos!Q10),Datos!Q10," - ")</f>
        <v>1</v>
      </c>
      <c r="AD10" s="504"/>
      <c r="AE10" s="517"/>
      <c r="AF10" s="506">
        <f>IF(ISNUMBER(Datos!L10),Datos!L10,"-")</f>
        <v>44</v>
      </c>
      <c r="AG10" s="504"/>
      <c r="AH10" s="504"/>
      <c r="AI10" s="504"/>
      <c r="AJ10" s="504"/>
      <c r="AK10" s="504"/>
      <c r="AL10" s="505"/>
      <c r="AM10" s="672">
        <f>IF(ISNUMBER(Datos!R10),Datos!R10," - ")</f>
        <v>23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5</v>
      </c>
      <c r="BE10" s="620" t="str">
        <f>IF(ISNUMBER(Datos!BW10),Datos!BW10," - ")</f>
        <v xml:space="preserve"> - </v>
      </c>
      <c r="BF10" s="668" t="str">
        <f>IF(ISNUMBER(Datos!BX10),Datos!BX10," - ")</f>
        <v xml:space="preserve"> - </v>
      </c>
      <c r="BG10" s="669">
        <f>IF(ISNUMBER(Datos!K10/Datos!J10),Datos!K10/Datos!J10," - ")</f>
        <v>0.47368421052631576</v>
      </c>
      <c r="BH10" s="670">
        <f>IF(ISNUMBER(((Datos!L10/Datos!K10)*11)/factor_trimestre),((Datos!L10/Datos!K10)*11)/factor_trimestre," - ")</f>
        <v>14.66666666666667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109</v>
      </c>
      <c r="O12" s="504"/>
      <c r="P12" s="504"/>
      <c r="Q12" s="502">
        <f>IF(ISNUMBER(Datos!P12),Datos!P12,0)</f>
        <v>250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207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152</v>
      </c>
      <c r="AI12" s="504" t="str">
        <f>IF(ISNUMBER(Datos!CD12),Datos!CD12,"-")</f>
        <v>-</v>
      </c>
      <c r="AJ12" s="504" t="str">
        <f>IF(ISNUMBER(Datos!EN12),Datos!EN12," - ")</f>
        <v xml:space="preserve"> - </v>
      </c>
      <c r="AK12" s="504"/>
      <c r="AL12" s="505"/>
      <c r="AM12" s="672">
        <f>IF(ISNUMBER(Datos!R12),Datos!R12," - ")</f>
        <v>3761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155</v>
      </c>
      <c r="BD12" s="620">
        <f>IF(ISNUMBER(Datos!N12),Datos!N12," - ")</f>
        <v>328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0.80977683315621674</v>
      </c>
      <c r="BH12" s="670">
        <f>IF(ISNUMBER(((IF(J_V="SI",Datos!L12/Datos!K12,(Datos!L12+Datos!AB12)/(Datos!K12+Datos!AA12)))*11)/factor_trimestre),((IF(J_V="SI",Datos!L12/Datos!K12,(Datos!L12+Datos!AB12)/(Datos!K12+Datos!AA12)))*11)/factor_trimestre," - ")</f>
        <v>10.681102362204724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1.1565357719203874E-2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34</v>
      </c>
      <c r="G14" s="1045">
        <f t="shared" si="1"/>
        <v>34</v>
      </c>
      <c r="H14" s="1046">
        <f t="shared" si="1"/>
        <v>0</v>
      </c>
      <c r="I14" s="1045">
        <f t="shared" si="1"/>
        <v>0</v>
      </c>
      <c r="J14" s="1014">
        <f t="shared" si="1"/>
        <v>0</v>
      </c>
      <c r="K14" s="1014">
        <f t="shared" si="1"/>
        <v>0</v>
      </c>
      <c r="L14" s="1046">
        <f t="shared" si="1"/>
        <v>0</v>
      </c>
      <c r="M14" s="1046">
        <f t="shared" si="1"/>
        <v>0</v>
      </c>
      <c r="N14" s="1046">
        <f t="shared" si="1"/>
        <v>109</v>
      </c>
      <c r="O14" s="1047">
        <f t="shared" si="1"/>
        <v>0</v>
      </c>
      <c r="P14" s="1047">
        <f t="shared" si="1"/>
        <v>0</v>
      </c>
      <c r="Q14" s="1046">
        <f t="shared" si="1"/>
        <v>251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v>
      </c>
      <c r="AC14" s="1046">
        <f t="shared" si="2"/>
        <v>208</v>
      </c>
      <c r="AD14" s="1046">
        <f t="shared" si="2"/>
        <v>0</v>
      </c>
      <c r="AE14" s="1046">
        <f t="shared" si="2"/>
        <v>0</v>
      </c>
      <c r="AF14" s="1046">
        <f t="shared" si="2"/>
        <v>44</v>
      </c>
      <c r="AG14" s="1046">
        <f t="shared" si="2"/>
        <v>0</v>
      </c>
      <c r="AH14" s="1046">
        <f t="shared" si="2"/>
        <v>152</v>
      </c>
      <c r="AI14" s="1046">
        <f t="shared" si="2"/>
        <v>0</v>
      </c>
      <c r="AJ14" s="1046">
        <f t="shared" si="2"/>
        <v>0</v>
      </c>
      <c r="AK14" s="1046">
        <f t="shared" si="2"/>
        <v>0</v>
      </c>
      <c r="AL14" s="1046">
        <f t="shared" si="2"/>
        <v>0</v>
      </c>
      <c r="AM14" s="1046">
        <f t="shared" si="2"/>
        <v>3784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159</v>
      </c>
      <c r="BD14" s="1046">
        <f t="shared" si="2"/>
        <v>333</v>
      </c>
      <c r="BE14" s="1046">
        <f t="shared" si="2"/>
        <v>0</v>
      </c>
      <c r="BF14" s="1046">
        <f t="shared" si="2"/>
        <v>0</v>
      </c>
      <c r="BG14" s="1046">
        <f>IF(ISNUMBER(Datos!K14/Datos!J14),Datos!K14/Datos!J14," - ")</f>
        <v>0.78613396004700353</v>
      </c>
      <c r="BH14" s="1050">
        <f>IF(ISNUMBER(((Datos!L14/Datos!K14)*11)/factor_trimestre),((Datos!L14/Datos!K14)*11)/factor_trimestre," - ")</f>
        <v>11.681614349775787</v>
      </c>
      <c r="BI14" s="1046">
        <f>IF(ISNUMBER('Resol  Asuntos'!D14/NºAsuntos!G14),'Resol  Asuntos'!D14/NºAsuntos!G14," - ")</f>
        <v>0.20622568093385213</v>
      </c>
      <c r="BJ14" s="1046" t="str">
        <f>IF(ISNUMBER(Datos!CI14/Datos!CJ14),Datos!CI14/Datos!CJ14," - ")</f>
        <v xml:space="preserve"> - </v>
      </c>
      <c r="BK14" s="1046">
        <f>SUBTOTAL(9,BK8:BK13)</f>
        <v>0</v>
      </c>
      <c r="BL14" s="1046">
        <f>IF(ISNUMBER((I14-AB14+L14)/(F14)),(I14-AB14+L14)/(F14)," - ")</f>
        <v>-0.26470588235294118</v>
      </c>
      <c r="BM14" s="1051">
        <f>SUBTOTAL(9,BM9:BM13)</f>
        <v>1.1565357719203874E-2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1779</v>
      </c>
      <c r="G17" s="651">
        <f>IF(ISNUMBER(IF(D_I="SI",Datos!I17,Datos!I17+Datos!AC17)),IF(D_I="SI",Datos!I17,Datos!I17+Datos!AC17)," - ")</f>
        <v>1785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1181</v>
      </c>
      <c r="AC17" s="231">
        <f>IF(ISNUMBER(Datos!Q17),Datos!Q17," - ")</f>
        <v>36</v>
      </c>
      <c r="AD17" s="344"/>
      <c r="AE17" s="516"/>
      <c r="AF17" s="649">
        <f>IF(ISNUMBER(IF(D_I="SI",Datos!L17,Datos!L17+Datos!AF17)),IF(D_I="SI",Datos!L17,Datos!L17+Datos!AF17)," - ")</f>
        <v>1757</v>
      </c>
      <c r="AG17" s="344"/>
      <c r="AH17" s="344"/>
      <c r="AI17" s="344"/>
      <c r="AJ17" s="504"/>
      <c r="AK17" s="344"/>
      <c r="AL17" s="500"/>
      <c r="AM17" s="345">
        <f>IF(ISNUMBER(Datos!R17),Datos!R17," - ")</f>
        <v>193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113</v>
      </c>
      <c r="BD17" s="234">
        <f>IF(ISNUMBER(Datos!N17),Datos!N17," - ")</f>
        <v>824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1.0189818809318378</v>
      </c>
      <c r="BH17" s="670">
        <f>IF(ISNUMBER(((IF(D_I="SI",Datos!L17/Datos!K17,(Datos!L17+Datos!AF17)/(Datos!K17+Datos!AE17)))*11)/factor_trimestre),((IF(D_I="SI",Datos!L17/Datos!K17,(Datos!L17+Datos!AF17)/(Datos!K17+Datos!AE17)))*11)/factor_trimestre," - ")</f>
        <v>4.4631668077900084</v>
      </c>
      <c r="BI17" s="248">
        <f>IF(ISNUMBER('Resol  Asuntos'!D17/NºAsuntos!G17),'Resol  Asuntos'!D17/NºAsuntos!G17," - ")</f>
        <v>9.5681625740897544E-2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95</v>
      </c>
      <c r="AC18" s="502">
        <f>IF(ISNUMBER(Datos!Q18),Datos!Q18," - ")</f>
        <v>1</v>
      </c>
      <c r="AD18" s="504"/>
      <c r="AE18" s="516"/>
      <c r="AF18" s="506">
        <f>IF(ISNUMBER(Datos!L18),Datos!L18,"-")</f>
        <v>276</v>
      </c>
      <c r="AG18" s="504"/>
      <c r="AH18" s="504"/>
      <c r="AI18" s="504"/>
      <c r="AJ18" s="504"/>
      <c r="AK18" s="504"/>
      <c r="AL18" s="505"/>
      <c r="AM18" s="672">
        <f>IF(ISNUMBER(Datos!R18),Datos!R18," - ")</f>
        <v>20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68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0.73076923076923073</v>
      </c>
      <c r="BH18" s="670">
        <f>IF(ISNUMBER(((IF(D_I="SI",Datos!L18/Datos!K18,(Datos!L18+Datos!AF18)/(Datos!K18+Datos!AE18)))*11)/factor_trimestre),((IF(D_I="SI",Datos!L18/Datos!K18,(Datos!L18+Datos!AF18)/(Datos!K18+Datos!AE18)))*11)/factor_trimestre," - ")</f>
        <v>8.715789473684211</v>
      </c>
      <c r="BI18" s="669">
        <f>IF(ISNUMBER('Resol  Asuntos'!D18/NºAsuntos!G18),'Resol  Asuntos'!D18/NºAsuntos!G18," - ")</f>
        <v>0.11578947368421053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1779</v>
      </c>
      <c r="G20" s="1045">
        <f>SUBTOTAL(9,G16:G19)</f>
        <v>2110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1276</v>
      </c>
      <c r="AC20" s="1046">
        <f t="shared" si="5"/>
        <v>37</v>
      </c>
      <c r="AD20" s="1046">
        <f t="shared" si="5"/>
        <v>0</v>
      </c>
      <c r="AE20" s="1046">
        <f t="shared" si="5"/>
        <v>0</v>
      </c>
      <c r="AF20" s="1046">
        <f t="shared" si="5"/>
        <v>2033</v>
      </c>
      <c r="AG20" s="1046">
        <f t="shared" si="5"/>
        <v>0</v>
      </c>
      <c r="AH20" s="1046">
        <f t="shared" si="5"/>
        <v>0</v>
      </c>
      <c r="AI20" s="1046">
        <f t="shared" si="5"/>
        <v>0</v>
      </c>
      <c r="AJ20" s="1046">
        <f t="shared" si="5"/>
        <v>0</v>
      </c>
      <c r="AK20" s="1046">
        <f t="shared" si="5"/>
        <v>0</v>
      </c>
      <c r="AL20" s="1046">
        <f t="shared" si="5"/>
        <v>0</v>
      </c>
      <c r="AM20" s="1046">
        <f t="shared" si="5"/>
        <v>213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124</v>
      </c>
      <c r="BD20" s="1046">
        <f t="shared" si="5"/>
        <v>892</v>
      </c>
      <c r="BE20" s="1046">
        <f t="shared" si="5"/>
        <v>0</v>
      </c>
      <c r="BF20" s="1046">
        <f t="shared" si="5"/>
        <v>0</v>
      </c>
      <c r="BG20" s="1046">
        <f>IF(ISNUMBER(Datos!K20/Datos!J20),Datos!K20/Datos!J20," - ")</f>
        <v>0.98991466252909233</v>
      </c>
      <c r="BH20" s="1050">
        <f>IF(ISNUMBER(((Datos!L20/Datos!K20)*11)/factor_trimestre),((Datos!L20/Datos!K20)*11)/factor_trimestre," - ")</f>
        <v>4.7797805642633238</v>
      </c>
      <c r="BI20" s="1046">
        <f>SUBTOTAL(9,BI16:BI19)</f>
        <v>0.21147109942510806</v>
      </c>
      <c r="BJ20" s="1046">
        <f>SUBTOTAL(9,BJ16:BJ19)</f>
        <v>0</v>
      </c>
      <c r="BK20" s="1046">
        <f>SUBTOTAL(9,BK16:BK19)</f>
        <v>0</v>
      </c>
      <c r="BL20" s="1046">
        <f>IF(ISNUMBER((I20-AB20+L20)/(F20)),(I20-AB20+L20)/(F20)," - ")</f>
        <v>-0.71725688589094994</v>
      </c>
      <c r="BM20" s="1052">
        <f>IF(ISNUMBER((Datos!P20-Datos!Q20)/(Datos!R20-Datos!P20+Datos!Q20)),(Datos!P20-Datos!Q20)/(Datos!R20-Datos!P20+Datos!Q20)," - ")</f>
        <v>1.9138755980861243E-2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1813</v>
      </c>
      <c r="G21" s="967">
        <f t="shared" si="7"/>
        <v>2144</v>
      </c>
      <c r="H21" s="969">
        <f t="shared" si="7"/>
        <v>0</v>
      </c>
      <c r="I21" s="967">
        <f t="shared" si="7"/>
        <v>0</v>
      </c>
      <c r="J21" s="969">
        <f t="shared" si="7"/>
        <v>0</v>
      </c>
      <c r="K21" s="969">
        <f t="shared" si="7"/>
        <v>0</v>
      </c>
      <c r="L21" s="1028">
        <f t="shared" si="7"/>
        <v>0</v>
      </c>
      <c r="M21" s="1028">
        <f t="shared" si="7"/>
        <v>0</v>
      </c>
      <c r="N21" s="1028">
        <f t="shared" si="7"/>
        <v>109</v>
      </c>
      <c r="O21" s="1028">
        <f t="shared" si="7"/>
        <v>0</v>
      </c>
      <c r="P21" s="1028">
        <f t="shared" si="7"/>
        <v>0</v>
      </c>
      <c r="Q21" s="969">
        <f t="shared" si="7"/>
        <v>292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1285</v>
      </c>
      <c r="AC21" s="968">
        <f t="shared" si="8"/>
        <v>245</v>
      </c>
      <c r="AD21" s="968">
        <f t="shared" si="8"/>
        <v>0</v>
      </c>
      <c r="AE21" s="968">
        <f t="shared" si="8"/>
        <v>0</v>
      </c>
      <c r="AF21" s="975">
        <f t="shared" si="8"/>
        <v>2077</v>
      </c>
      <c r="AG21" s="975">
        <f t="shared" si="8"/>
        <v>0</v>
      </c>
      <c r="AH21" s="975">
        <f t="shared" si="8"/>
        <v>152</v>
      </c>
      <c r="AI21" s="975">
        <f t="shared" si="8"/>
        <v>0</v>
      </c>
      <c r="AJ21" s="968">
        <f t="shared" si="8"/>
        <v>0</v>
      </c>
      <c r="AK21" s="975">
        <f t="shared" si="8"/>
        <v>0</v>
      </c>
      <c r="AL21" s="975">
        <f t="shared" si="8"/>
        <v>0</v>
      </c>
      <c r="AM21" s="975">
        <f t="shared" si="8"/>
        <v>3997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283</v>
      </c>
      <c r="BD21" s="967">
        <f t="shared" si="8"/>
        <v>1225</v>
      </c>
      <c r="BE21" s="967">
        <f t="shared" si="8"/>
        <v>0</v>
      </c>
      <c r="BF21" s="977">
        <f t="shared" si="8"/>
        <v>0</v>
      </c>
      <c r="BG21" s="1062">
        <f>IF(ISNUMBER(Datos!K21/Datos!J21),Datos!K21/Datos!J21," - ")</f>
        <v>0.90887850467289721</v>
      </c>
      <c r="BH21" s="1062">
        <f>IF(ISNUMBER(((Datos!L21/Datos!K21)*11)/factor_trimestre),((Datos!L21/Datos!K21)*11)/factor_trimestre," - ")</f>
        <v>7.1537275064267352</v>
      </c>
      <c r="BI21" s="960">
        <f>IF(ISNUMBER(Datos!J21/Datos!I21),Datos!J21/Datos!I21," - ")</f>
        <v>0.46909250328803159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-0.70876999448428024</v>
      </c>
      <c r="BM21" s="1036">
        <f>IF(ISNUMBER((Datos!P21-Datos!Q21+R21)/(Datos!R21-Datos!P21+Datos!Q21-R21)),(Datos!P21-Datos!Q21+R21)/(Datos!R21-Datos!P21+Datos!Q21-R21)," - ")</f>
        <v>1.189873417721519E-2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857.6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1007.476219735897</v>
      </c>
      <c r="G23" s="601">
        <f>IF(ISNUMBER(STDEV(G8:G20)),STDEV(G8:G20),"-")</f>
        <v>1008.5724069198008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654.05351463011039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69.563400338588011</v>
      </c>
      <c r="BD23" s="600"/>
      <c r="BE23" s="600">
        <f>IF(ISNUMBER(STDEV(BE8:BE20)),STDEV(BE8:BE20),"-")</f>
        <v>0</v>
      </c>
      <c r="BF23" s="605">
        <f>IF(ISNUMBER(STDEV(BF8:BF20)),STDEV(BF8:BF20),"-")</f>
        <v>0</v>
      </c>
      <c r="BG23" s="915">
        <f>IF(ISNUMBER(STDEV(BG8:BG20)),STDEV(BG8:BG20),"-")</f>
        <v>0.197772140075682</v>
      </c>
      <c r="BH23" s="919">
        <f>IF(ISNUMBER(STDEV(BH8:BH20)),STDEV(BH8:BH20),"-")</f>
        <v>4.0109705719251609</v>
      </c>
      <c r="BI23" s="254">
        <f>IF(ISNUMBER(STDEV(BI8:BI20)),STDEV(BI8:BI20),"-")</f>
        <v>6.0133678448347161E-2</v>
      </c>
      <c r="BJ23" s="235" t="str">
        <f>IF(ISNUMBER(BL23/BM23),BL23/BM23," - ")</f>
        <v xml:space="preserve"> - </v>
      </c>
      <c r="BK23" s="627"/>
      <c r="BL23" s="608">
        <f>IF(ISNUMBER(STDEV(BL8:BL20)),STDEV(BL8:BL20),"-")</f>
        <v>0.32000188343450314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svO12nmycxKMR0YW1nQ+ty1HLbWbMuLvWEOqKb5DwOLq/daRM8HZhkMy8gq9Rt6734j2ASMKDxt/vxa/SU8tQ==" saltValue="CcxVXcHs4dd4i9OzcLJu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AVILA  Resumenes por Partidos Judiciales  AVILA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34</v>
      </c>
      <c r="G10" s="507">
        <f>IF(ISNUMBER(Datos!I10),Datos!I10," - ")</f>
        <v>34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v>
      </c>
      <c r="Z10" s="704">
        <f>IF(ISNUMBER(Datos!Q10),Datos!Q10," - ")</f>
        <v>1</v>
      </c>
      <c r="AA10" s="506">
        <f>IF(ISNUMBER(Datos!L10),Datos!L10,"-")</f>
        <v>44</v>
      </c>
      <c r="AB10" s="504"/>
      <c r="AC10" s="504"/>
      <c r="AD10" s="517"/>
      <c r="AE10" s="517">
        <f>IF(ISNUMBER(Datos!R10),Datos!R10," - ")</f>
        <v>23</v>
      </c>
      <c r="AF10" s="620" t="str">
        <f>IF(ISNUMBER(Datos!BV10),Datos!BV10," - ")</f>
        <v xml:space="preserve"> - </v>
      </c>
      <c r="AG10" s="507" t="str">
        <f>IF(ISNUMBER(Datos!DV10),Datos!DV10," - ")</f>
        <v xml:space="preserve"> - </v>
      </c>
      <c r="AH10" s="508"/>
      <c r="AI10" s="509"/>
      <c r="AJ10" s="507">
        <f>IF(ISNUMBER(Datos!M10),Datos!M10," - ")</f>
        <v>4</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14.66666666666667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250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207</v>
      </c>
      <c r="AA12" s="506" t="str">
        <f>IF(ISNUMBER(IF(J_V="SI",Datos!L12,Datos!L12+Datos!AB12)-IF(Monitorios="SI",Datos!CD12,0)),
                          IF(J_V="SI",Datos!L12,Datos!L12+Datos!AB12)-IF(Monitorios="SI",Datos!CD12,0),
                          " - ")</f>
        <v xml:space="preserve"> - </v>
      </c>
      <c r="AB12" s="504"/>
      <c r="AC12" s="504"/>
      <c r="AD12" s="517"/>
      <c r="AE12" s="517">
        <f>IF(ISNUMBER(Datos!R12),Datos!R12," - ")</f>
        <v>3761</v>
      </c>
      <c r="AF12" s="620" t="str">
        <f>IF(ISNUMBER(Datos!BV12),Datos!BV12," - ")</f>
        <v xml:space="preserve"> - </v>
      </c>
      <c r="AG12" s="507" t="str">
        <f>IF(ISNUMBER(Datos!DV12),Datos!DV12," - ")</f>
        <v xml:space="preserve"> - </v>
      </c>
      <c r="AH12" s="508"/>
      <c r="AI12" s="509"/>
      <c r="AJ12" s="507">
        <f>IF(ISNUMBER(Datos!M12),Datos!M12," - ")</f>
        <v>155</v>
      </c>
      <c r="AK12" s="620">
        <f>IF(ISNUMBER(Datos!N12),Datos!N12," - ")</f>
        <v>328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10.681102362204724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1.1565357719203874E-2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34</v>
      </c>
      <c r="G14" s="1045">
        <f>SUBTOTAL(9,G8:G13)</f>
        <v>34</v>
      </c>
      <c r="H14" s="1055"/>
      <c r="I14" s="1045">
        <f t="shared" ref="I14:N14" si="1">SUBTOTAL(9,I8:I13)</f>
        <v>0</v>
      </c>
      <c r="J14" s="1014">
        <f t="shared" si="1"/>
        <v>0</v>
      </c>
      <c r="K14" s="1055">
        <f t="shared" si="1"/>
        <v>0</v>
      </c>
      <c r="L14" s="1055">
        <f t="shared" si="1"/>
        <v>0</v>
      </c>
      <c r="M14" s="1055">
        <f t="shared" si="1"/>
        <v>0</v>
      </c>
      <c r="N14" s="1055">
        <f t="shared" si="1"/>
        <v>251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v>
      </c>
      <c r="Z14" s="1054">
        <f t="shared" si="3"/>
        <v>208</v>
      </c>
      <c r="AA14" s="1047">
        <f t="shared" si="3"/>
        <v>44</v>
      </c>
      <c r="AB14" s="1047">
        <f t="shared" si="3"/>
        <v>0</v>
      </c>
      <c r="AC14" s="1047">
        <f t="shared" si="3"/>
        <v>0</v>
      </c>
      <c r="AD14" s="1047">
        <f t="shared" si="3"/>
        <v>0</v>
      </c>
      <c r="AE14" s="1047">
        <f t="shared" si="3"/>
        <v>3784</v>
      </c>
      <c r="AF14" s="1055">
        <f t="shared" si="3"/>
        <v>0</v>
      </c>
      <c r="AG14" s="1055">
        <f t="shared" si="3"/>
        <v>0</v>
      </c>
      <c r="AH14" s="1055">
        <f t="shared" si="3"/>
        <v>0</v>
      </c>
      <c r="AI14" s="1055">
        <f t="shared" si="3"/>
        <v>0</v>
      </c>
      <c r="AJ14" s="1055">
        <f t="shared" si="3"/>
        <v>159</v>
      </c>
      <c r="AK14" s="1055">
        <f t="shared" si="3"/>
        <v>333</v>
      </c>
      <c r="AL14" s="1055">
        <f t="shared" si="3"/>
        <v>0</v>
      </c>
      <c r="AM14" s="1055">
        <f t="shared" si="3"/>
        <v>0</v>
      </c>
      <c r="AN14" s="1055">
        <f t="shared" si="3"/>
        <v>0</v>
      </c>
      <c r="AO14" s="1051">
        <f>IF(ISNUMBER(((NºAsuntos!I14/NºAsuntos!G14)*11)/factor_trimestre),((NºAsuntos!I14/NºAsuntos!G14)*11)/factor_trimestre," - ")</f>
        <v>10.72762645914397</v>
      </c>
      <c r="AP14" s="1057" t="str">
        <f>IF(ISNUMBER(Datos!CI14/Datos!CJ14),Datos!CI14/Datos!CJ14," - ")</f>
        <v xml:space="preserve"> - </v>
      </c>
      <c r="AQ14" s="1075">
        <f t="shared" ref="AQ14:AV14" si="4">SUBTOTAL(9,AQ9:AQ13)</f>
        <v>0</v>
      </c>
      <c r="AR14" s="1075">
        <f t="shared" si="4"/>
        <v>1.1565357719203874E-2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1779</v>
      </c>
      <c r="G17" s="507">
        <f>IF(ISNUMBER(IF(D_I="SI",Datos!I17,Datos!I17+Datos!AC17)),IF(D_I="SI",Datos!I17,Datos!I17+Datos!AC17)," - ")</f>
        <v>1785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1181</v>
      </c>
      <c r="Z17" s="704">
        <f>IF(ISNUMBER(Datos!Q17),Datos!Q17," - ")</f>
        <v>36</v>
      </c>
      <c r="AA17" s="506">
        <f>IF(ISNUMBER(IF(D_I="SI",Datos!L17,Datos!L17+Datos!AF17)),IF(D_I="SI",Datos!L17,Datos!L17+Datos!AF17)," - ")</f>
        <v>1757</v>
      </c>
      <c r="AB17" s="504"/>
      <c r="AC17" s="504"/>
      <c r="AD17" s="517"/>
      <c r="AE17" s="517">
        <f>IF(ISNUMBER(Datos!R17),Datos!R17," - ")</f>
        <v>193</v>
      </c>
      <c r="AF17" s="620" t="str">
        <f>IF(ISNUMBER(Datos!BV17),Datos!BV17," - ")</f>
        <v xml:space="preserve"> - </v>
      </c>
      <c r="AG17" s="507"/>
      <c r="AH17" s="508"/>
      <c r="AI17" s="509"/>
      <c r="AJ17" s="507">
        <f>IF(ISNUMBER(Datos!M17),Datos!M17," - ")</f>
        <v>113</v>
      </c>
      <c r="AK17" s="620">
        <f>IF(ISNUMBER(Datos!N17),Datos!N17," - ")</f>
        <v>824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4.4631668077900084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95</v>
      </c>
      <c r="Z18" s="704">
        <f>IF(ISNUMBER(Datos!Q18),Datos!Q18," - ")</f>
        <v>1</v>
      </c>
      <c r="AA18" s="506">
        <f>IF(ISNUMBER(Datos!L18),Datos!L18,"-")</f>
        <v>276</v>
      </c>
      <c r="AB18" s="504"/>
      <c r="AC18" s="504"/>
      <c r="AD18" s="517"/>
      <c r="AE18" s="517">
        <f>IF(ISNUMBER(Datos!R18),Datos!R18," - ")</f>
        <v>20</v>
      </c>
      <c r="AF18" s="620" t="str">
        <f>IF(ISNUMBER(Datos!BV18),Datos!BV18," - ")</f>
        <v xml:space="preserve"> - </v>
      </c>
      <c r="AG18" s="507" t="str">
        <f>IF(ISNUMBER(Datos!DV18),Datos!DV18," - ")</f>
        <v xml:space="preserve"> - </v>
      </c>
      <c r="AH18" s="508"/>
      <c r="AI18" s="509"/>
      <c r="AJ18" s="507">
        <f>IF(ISNUMBER(Datos!M18),Datos!M18," - ")</f>
        <v>11</v>
      </c>
      <c r="AK18" s="620">
        <f>IF(ISNUMBER(Datos!N18),Datos!N18," - ")</f>
        <v>68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8.715789473684211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1779</v>
      </c>
      <c r="G20" s="1045">
        <f>SUBTOTAL(9,G16:G19)</f>
        <v>2110</v>
      </c>
      <c r="H20" s="1079">
        <f>SUBTOTAL(9,H16:H19)</f>
        <v>0</v>
      </c>
      <c r="I20" s="1058">
        <f>SUBTOTAL(9,I16:I19)</f>
        <v>0</v>
      </c>
      <c r="J20" s="1014">
        <f>SUBTOTAL(9,J15:J19)</f>
        <v>0</v>
      </c>
      <c r="K20" s="1079">
        <f t="shared" ref="K20:S20" si="5">SUBTOTAL(9,K16:K19)</f>
        <v>0</v>
      </c>
      <c r="L20" s="1079">
        <f t="shared" si="5"/>
        <v>0</v>
      </c>
      <c r="M20" s="1079">
        <f t="shared" si="5"/>
        <v>0</v>
      </c>
      <c r="N20" s="1079">
        <f t="shared" si="5"/>
        <v>41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1276</v>
      </c>
      <c r="Z20" s="1079">
        <f t="shared" si="6"/>
        <v>37</v>
      </c>
      <c r="AA20" s="1079">
        <f t="shared" si="6"/>
        <v>2033</v>
      </c>
      <c r="AB20" s="1079">
        <f t="shared" si="6"/>
        <v>0</v>
      </c>
      <c r="AC20" s="1079">
        <f t="shared" si="6"/>
        <v>0</v>
      </c>
      <c r="AD20" s="1079">
        <f t="shared" si="6"/>
        <v>0</v>
      </c>
      <c r="AE20" s="1079">
        <f t="shared" si="6"/>
        <v>213</v>
      </c>
      <c r="AF20" s="1079">
        <f t="shared" si="6"/>
        <v>0</v>
      </c>
      <c r="AG20" s="1079">
        <f t="shared" si="6"/>
        <v>0</v>
      </c>
      <c r="AH20" s="1079">
        <f t="shared" si="6"/>
        <v>0</v>
      </c>
      <c r="AI20" s="1079">
        <f t="shared" si="6"/>
        <v>0</v>
      </c>
      <c r="AJ20" s="1079">
        <f t="shared" si="6"/>
        <v>124</v>
      </c>
      <c r="AK20" s="1079">
        <f t="shared" si="6"/>
        <v>892</v>
      </c>
      <c r="AL20" s="1079">
        <f t="shared" si="6"/>
        <v>0</v>
      </c>
      <c r="AM20" s="1079">
        <f t="shared" si="6"/>
        <v>0</v>
      </c>
      <c r="AN20" s="1079">
        <f t="shared" si="6"/>
        <v>0</v>
      </c>
      <c r="AO20" s="1081">
        <f>IF(ISNUMBER(((NºAsuntos!I20/NºAsuntos!G20)*11)/factor_trimestre),((NºAsuntos!I20/NºAsuntos!G20)*11)/factor_trimestre," - ")</f>
        <v>4.7797805642633238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1813</v>
      </c>
      <c r="G21" s="967">
        <f t="shared" si="8"/>
        <v>2144</v>
      </c>
      <c r="H21" s="968">
        <f t="shared" si="8"/>
        <v>0</v>
      </c>
      <c r="I21" s="967">
        <f t="shared" si="8"/>
        <v>0</v>
      </c>
      <c r="J21" s="969">
        <f t="shared" si="8"/>
        <v>0</v>
      </c>
      <c r="K21" s="967">
        <f t="shared" si="8"/>
        <v>0</v>
      </c>
      <c r="L21" s="970">
        <f t="shared" si="8"/>
        <v>0</v>
      </c>
      <c r="M21" s="967">
        <f t="shared" si="8"/>
        <v>0</v>
      </c>
      <c r="N21" s="968">
        <f t="shared" si="8"/>
        <v>292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1285</v>
      </c>
      <c r="Z21" s="974">
        <f t="shared" si="9"/>
        <v>245</v>
      </c>
      <c r="AA21" s="975">
        <f t="shared" si="9"/>
        <v>2077</v>
      </c>
      <c r="AB21" s="975">
        <f t="shared" si="9"/>
        <v>0</v>
      </c>
      <c r="AC21" s="975">
        <f t="shared" si="9"/>
        <v>0</v>
      </c>
      <c r="AD21" s="976">
        <f t="shared" si="9"/>
        <v>0</v>
      </c>
      <c r="AE21" s="976">
        <f t="shared" si="9"/>
        <v>3997</v>
      </c>
      <c r="AF21" s="977">
        <f t="shared" si="9"/>
        <v>0</v>
      </c>
      <c r="AG21" s="978">
        <f t="shared" si="9"/>
        <v>0</v>
      </c>
      <c r="AH21" s="979">
        <f t="shared" si="9"/>
        <v>0</v>
      </c>
      <c r="AI21" s="977">
        <f t="shared" si="9"/>
        <v>0</v>
      </c>
      <c r="AJ21" s="967">
        <f t="shared" si="9"/>
        <v>283</v>
      </c>
      <c r="AK21" s="967">
        <f t="shared" si="9"/>
        <v>1225</v>
      </c>
      <c r="AL21" s="967">
        <f t="shared" si="9"/>
        <v>0</v>
      </c>
      <c r="AM21" s="980">
        <f t="shared" si="9"/>
        <v>0</v>
      </c>
      <c r="AN21" s="970">
        <f>IF(ISNUMBER(Datos!K21/Datos!J21),Datos!K21/Datos!J21," - ")</f>
        <v>0.90887850467289721</v>
      </c>
      <c r="AO21" s="970">
        <f>IF(ISNUMBER(FIND("06",Criterios!A8,1)),(IF(ISNUMBER(((Datos!R21/Datos!Q21)*11)/factor_trimestre),((Datos!R21/Datos!Q21)*11)/factor_trimestre," - ")),(IF(ISNUMBER(((Datos!L21/Datos!K21)*11)/factor_trimestre),((Datos!L21/Datos!K21)*11)/factor_trimestre," - ")))</f>
        <v>7.1537275064267352</v>
      </c>
      <c r="AP21" s="981" t="str">
        <f>IF(ISNUMBER(Datos!CI21/Datos!CJ21),Datos!CI21/Datos!CJ21," - ")</f>
        <v xml:space="preserve"> - </v>
      </c>
      <c r="AQ21" s="981">
        <f>IF(OR(ISNUMBER(FIND("01",Criterios!A8,1)),ISNUMBER(FIND("02",Criterios!A8,1)),ISNUMBER(FIND("03",Criterios!A8,1)),ISNUMBER(FIND("04",Criterios!A8,1))),(J21-Y21+K21)/(F21-K21),(I21-Y21+K21)/(F21-K21))</f>
        <v>-0.70876999448428024</v>
      </c>
      <c r="AR21" s="981">
        <f>IF(ISNUMBER((Datos!P21-Datos!Q21+O21)/(Datos!R21-Datos!P21+Datos!Q21-O21)),(Datos!P21-Datos!Q21+O21)/(Datos!R21-Datos!P21+Datos!Q21-O21)," - ")</f>
        <v>1.189873417721519E-2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857.6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1007.476219735897</v>
      </c>
      <c r="G23" s="601">
        <f>IF(ISNUMBER(STDEV(G8:G20)),STDEV(G8:G20),"-")</f>
        <v>1008.5724069198008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69.563400338588011</v>
      </c>
      <c r="AK23" s="257"/>
      <c r="AL23" s="257">
        <f>IF(ISNUMBER(STDEV(AL8:AL20)),STDEV(AL8:AL20),"-")</f>
        <v>0</v>
      </c>
      <c r="AM23" s="259">
        <f>IF(ISNUMBER(STDEV(AM8:AM20)),STDEV(AM8:AM20),"-")</f>
        <v>0</v>
      </c>
      <c r="AN23" s="587">
        <f>IF(ISNUMBER(STDEV(AN8:AN20)),STDEV(AN8:AN20),"-")</f>
        <v>0</v>
      </c>
      <c r="AO23" s="588">
        <f>IF(ISNUMBER(STDEV(AO8:AO20)),STDEV(AO8:AO20),"-")</f>
        <v>3.9088514527739329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1G8RvkEFzSnANExHK9T0o8vineI6UoORR3SAkaplq6wcJK5qKtPmDpsEcjLfzFkSavF+HlIkVAeTsHfMue6HQ==" saltValue="f5HObOfWHQgD4O5xL5kC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D1TRN5/lL6K0dX+6QQPe5vE6AwuKKASm1/yq5ayQv0iV/BHHsNjAk+b12q8eZUCo0rhwiFJXL8EGTLvdxGhg==" saltValue="8TYcNXnnDqwiHo+QiF9F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G433IyU0Q2Zg5mScH/LSl1NXwWHxFi/KiwqGTjZm9SC7qH3Q+Z/t2oUNpsURiVOL+zzL7qe0G3wAGWOUHBznA==" saltValue="/o7ApT24jv0g9XYXreAy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AVILA  Resumenes por Partidos Judiciales  AVILA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0.20622568093385213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0.14582357744314015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JUNQuyTPJDWKcHHvwxMDlgcc6sjprZFUBu2Hl/dELj0dPz8o7LG8YcaKAA9jzxC9s2KYrWHNVXiw7NrZO3yAg==" saltValue="NYK5ViX2FxhLhjunV6No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ccS+TrGLged0w6QLWFomEKcP1vizaG6w4L1fDPCJFD3n5dHhzKsyJgxr9rnd7ZO6wXGK6PeBFMJF71w8Wospdw==" saltValue="ni77T6rne0N23M8uRVGG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AVILA</v>
      </c>
      <c r="D3" s="400"/>
      <c r="E3" s="400"/>
      <c r="F3" s="400"/>
    </row>
    <row r="4" spans="1:14" ht="13.5" thickBot="1">
      <c r="A4" s="400"/>
      <c r="B4" s="403" t="str">
        <f>Criterios!A11 &amp;"  "&amp;Criterios!B11</f>
        <v>Resumenes por Partidos Judiciales  AVILA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34</v>
      </c>
      <c r="D10" s="416">
        <f>IF(ISNUMBER(C10/Datos!BH10),C10/Datos!BH10," - ")</f>
        <v>34</v>
      </c>
      <c r="E10" s="415">
        <f>IF(ISNUMBER(Datos!J10),Datos!J10," - ")</f>
        <v>19</v>
      </c>
      <c r="F10" s="416">
        <f>IF(ISNUMBER(E10/B10),E10/B10," - ")</f>
        <v>19</v>
      </c>
      <c r="G10" s="415">
        <f>IF(ISNUMBER(Datos!K10),Datos!K10," - ")</f>
        <v>9</v>
      </c>
      <c r="H10" s="416">
        <f>IF(ISNUMBER(G10/B10),G10/B10," - ")</f>
        <v>9</v>
      </c>
      <c r="I10" s="415">
        <f>IF(ISNUMBER(Datos!L10),Datos!L10," - ")</f>
        <v>44</v>
      </c>
      <c r="J10" s="416">
        <f>IF(ISNUMBER(I10/B10),I10/B10," - ")</f>
        <v>44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2563</v>
      </c>
      <c r="D12" s="416">
        <f>IF(ISNUMBER(C12/Datos!BH12),C12/Datos!BH12," - ")</f>
        <v>512.6</v>
      </c>
      <c r="E12" s="415">
        <f>IF(ISNUMBER(IF(J_V="SI",Datos!J12,Datos!J12+Datos!Z12)),IF(J_V="SI",Datos!J12,Datos!J12+Datos!Z12)," - ")</f>
        <v>941</v>
      </c>
      <c r="F12" s="416">
        <f>IF(ISNUMBER(E12/B12),E12/B12," - ")</f>
        <v>188.2</v>
      </c>
      <c r="G12" s="415">
        <f>IF(ISNUMBER(IF(J_V="SI",Datos!K12,Datos!K12+Datos!AA12)),IF(J_V="SI",Datos!K12,Datos!K12+Datos!AA12)," - ")</f>
        <v>762</v>
      </c>
      <c r="H12" s="416">
        <f>IF(ISNUMBER(G12/B12),G12/B12," - ")</f>
        <v>152.4</v>
      </c>
      <c r="I12" s="415">
        <f>IF(ISNUMBER(IF(J_V="SI",Datos!L12,Datos!L12+Datos!AB12)),IF(J_V="SI",Datos!L12,Datos!L12+Datos!AB12)," - ")</f>
        <v>2713</v>
      </c>
      <c r="J12" s="416">
        <f>IF(ISNUMBER(I12/B12),I12/B12," - ")</f>
        <v>542.6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2597</v>
      </c>
      <c r="D14" s="997" t="str">
        <f>IF(ISNUMBER(C14/Datos!BI14),C14/Datos!BI14," - ")</f>
        <v xml:space="preserve"> - </v>
      </c>
      <c r="E14" s="996">
        <f>SUBTOTAL(9,E8:E13)</f>
        <v>960</v>
      </c>
      <c r="F14" s="997">
        <f>IF(ISNUMBER(E14/B14),E14/B14," - ")</f>
        <v>192</v>
      </c>
      <c r="G14" s="996">
        <f>SUBTOTAL(9,G8:G13)</f>
        <v>771</v>
      </c>
      <c r="H14" s="997">
        <f>IF(ISNUMBER(G14/B14),G14/B14," - ")</f>
        <v>154.19999999999999</v>
      </c>
      <c r="I14" s="996">
        <f>SUBTOTAL(9,I8:I13)</f>
        <v>2757</v>
      </c>
      <c r="J14" s="997">
        <f>IF(ISNUMBER(I14/B14),I14/B14," - ")</f>
        <v>551.4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1785</v>
      </c>
      <c r="D17" s="416">
        <f>IF(ISNUMBER(C17/Datos!BH17),C17/Datos!BH17," - ")</f>
        <v>357</v>
      </c>
      <c r="E17" s="415">
        <f>IF(ISNUMBER(IF(D_I="SI",Datos!J17,Datos!J17+Datos!AD17)),IF(D_I="SI",Datos!J17,Datos!J17+Datos!AD17)," - ")</f>
        <v>1159</v>
      </c>
      <c r="F17" s="416">
        <f>IF(ISNUMBER(E17/B17),E17/B17," - ")</f>
        <v>231.8</v>
      </c>
      <c r="G17" s="415">
        <f>IF(ISNUMBER(IF(D_I="SI",Datos!K17,Datos!K17+Datos!AE17)),IF(D_I="SI",Datos!K17,Datos!K17+Datos!AE17)," - ")</f>
        <v>1181</v>
      </c>
      <c r="H17" s="416">
        <f>IF(ISNUMBER(G17/B17),G17/B17," - ")</f>
        <v>236.2</v>
      </c>
      <c r="I17" s="415">
        <f>IF(ISNUMBER(IF(D_I="SI",Datos!L17,Datos!L17+Datos!AF17)),IF(D_I="SI",Datos!L17,Datos!L17+Datos!AF17)," - ")</f>
        <v>1757</v>
      </c>
      <c r="J17" s="416">
        <f>IF(ISNUMBER(I17/B17),I17/B17," - ")</f>
        <v>351.4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325</v>
      </c>
      <c r="D18" s="416">
        <f>IF(ISNUMBER(C18/Datos!BH18),C18/Datos!BH18," - ")</f>
        <v>325</v>
      </c>
      <c r="E18" s="415">
        <f>IF(ISNUMBER(IF(D_I="SI",Datos!J18,Datos!J18+Datos!AD18)),IF(D_I="SI",Datos!J18,Datos!J18+Datos!AD18)," - ")</f>
        <v>130</v>
      </c>
      <c r="F18" s="416">
        <f>IF(ISNUMBER(E18/B18),E18/B18," - ")</f>
        <v>130</v>
      </c>
      <c r="G18" s="415">
        <f>IF(ISNUMBER(IF(D_I="SI",Datos!K18,Datos!K18+Datos!AE18)),IF(D_I="SI",Datos!K18,Datos!K18+Datos!AE18)," - ")</f>
        <v>95</v>
      </c>
      <c r="H18" s="416">
        <f>IF(ISNUMBER(G18/B18),G18/B18," - ")</f>
        <v>95</v>
      </c>
      <c r="I18" s="415">
        <f>IF(ISNUMBER(IF(D_I="SI",Datos!L18,Datos!L18+Datos!AF18)),IF(D_I="SI",Datos!L18,Datos!L18+Datos!AF18)," - ")</f>
        <v>276</v>
      </c>
      <c r="J18" s="416">
        <f>IF(ISNUMBER(I18/B18),I18/B18," - ")</f>
        <v>276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2110</v>
      </c>
      <c r="D20" s="997" t="str">
        <f>IF(ISNUMBER(C20/Datos!BI20),C20/Datos!BI20," - ")</f>
        <v xml:space="preserve"> - </v>
      </c>
      <c r="E20" s="996">
        <f>SUBTOTAL(9,E15:E19)</f>
        <v>1289</v>
      </c>
      <c r="F20" s="997">
        <f>IF(ISNUMBER(E20/B20),E20/B20," - ")</f>
        <v>257.8</v>
      </c>
      <c r="G20" s="996">
        <f>SUBTOTAL(9,G15:G19)</f>
        <v>1276</v>
      </c>
      <c r="H20" s="997">
        <f>IF(ISNUMBER(G20/B20),G20/B20," - ")</f>
        <v>255.2</v>
      </c>
      <c r="I20" s="996">
        <f>SUBTOTAL(9,I15:I19)</f>
        <v>2033</v>
      </c>
      <c r="J20" s="997">
        <f>IF(ISNUMBER(I20/B20),I20/B20," - ")</f>
        <v>406.6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4707</v>
      </c>
      <c r="D21" s="942" t="str">
        <f>IF(ISNUMBER(C21/Datos!BI21),C21/Datos!BI21," - ")</f>
        <v xml:space="preserve"> - </v>
      </c>
      <c r="E21" s="941">
        <f>SUBTOTAL(9,E9:E20)</f>
        <v>2249</v>
      </c>
      <c r="F21" s="942">
        <f>IF(ISNUMBER(E21/B21),E21/B21," - ")</f>
        <v>449.8</v>
      </c>
      <c r="G21" s="941">
        <f>SUBTOTAL(9,G9:G20)</f>
        <v>2047</v>
      </c>
      <c r="H21" s="942">
        <f>IF(ISNUMBER(G21/B21),G21/B21," - ")</f>
        <v>409.4</v>
      </c>
      <c r="I21" s="941">
        <f>SUBTOTAL(9,I9:I20)</f>
        <v>4790</v>
      </c>
      <c r="J21" s="942">
        <f>IF(ISNUMBER(I21/B21),I21/B21," - ")</f>
        <v>958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T9T8zs+1kuR/2IER8c1+/S6Da/8Zhr26cbTzH7tBdwA01b3aD+n7lBR8Fs/K3YFKmplWFX9QQNM2ed37i07DQ==" saltValue="Dpd6SFLK5I5nrFxl8shtQ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AVILA  Resumenes por Partidos Judiciales  AVILA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34</v>
      </c>
      <c r="G10" s="803">
        <f>IF(ISNUMBER(Datos!I10),Datos!I10," - ")</f>
        <v>34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v>
      </c>
      <c r="AC10" s="802" t="str">
        <f>IF(ISNUMBER(IF(D_I="SI",DatosP!K18,DatosP!K18+DatosP!AE18)),IF(D_I="SI",DatosP!K18,DatosP!K18+DatosP!AE18)," - ")</f>
        <v xml:space="preserve"> - </v>
      </c>
      <c r="AD10" s="804"/>
      <c r="AE10" s="804"/>
      <c r="AF10" s="807">
        <f>IF(ISNUMBER(Datos!L10),Datos!L10,"-")</f>
        <v>44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14.66666666666667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250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207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3761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155</v>
      </c>
      <c r="AM12" s="811">
        <f>IF(ISNUMBER(Datos!N12+DatosP!N17),Datos!N12+DatosP!N17," - ")</f>
        <v>328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10.681102362204724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1.1565357719203874E-2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34</v>
      </c>
      <c r="G14" s="1085">
        <f t="shared" si="0"/>
        <v>34</v>
      </c>
      <c r="H14" s="1085">
        <f t="shared" si="0"/>
        <v>0</v>
      </c>
      <c r="I14" s="1087">
        <f t="shared" si="0"/>
        <v>0</v>
      </c>
      <c r="J14" s="1086">
        <f t="shared" si="0"/>
        <v>0</v>
      </c>
      <c r="K14" s="1086">
        <f t="shared" si="0"/>
        <v>0</v>
      </c>
      <c r="L14" s="1088">
        <f t="shared" si="0"/>
        <v>0</v>
      </c>
      <c r="M14" s="1088">
        <f t="shared" si="0"/>
        <v>0</v>
      </c>
      <c r="N14" s="1086">
        <f t="shared" si="0"/>
        <v>251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v>
      </c>
      <c r="AC14" s="1086">
        <f t="shared" si="1"/>
        <v>0</v>
      </c>
      <c r="AD14" s="1086">
        <f t="shared" si="1"/>
        <v>207</v>
      </c>
      <c r="AE14" s="1086">
        <f t="shared" si="1"/>
        <v>0</v>
      </c>
      <c r="AF14" s="1086">
        <f t="shared" si="1"/>
        <v>44</v>
      </c>
      <c r="AG14" s="1086">
        <f t="shared" si="1"/>
        <v>0</v>
      </c>
      <c r="AH14" s="1086">
        <f t="shared" si="1"/>
        <v>3761</v>
      </c>
      <c r="AI14" s="1086">
        <f t="shared" si="1"/>
        <v>0</v>
      </c>
      <c r="AJ14" s="1086">
        <f t="shared" si="1"/>
        <v>0</v>
      </c>
      <c r="AK14" s="1086">
        <f t="shared" si="1"/>
        <v>0</v>
      </c>
      <c r="AL14" s="1086">
        <f t="shared" si="1"/>
        <v>159</v>
      </c>
      <c r="AM14" s="1086">
        <f t="shared" si="1"/>
        <v>333</v>
      </c>
      <c r="AN14" s="1086">
        <f t="shared" si="1"/>
        <v>0</v>
      </c>
      <c r="AO14" s="1086">
        <f t="shared" si="1"/>
        <v>0</v>
      </c>
      <c r="AP14" s="1091">
        <f>IF(ISNUMBER(((Datos!L14/Datos!K14)*11)/factor_trimestre),((Datos!L14/Datos!K14)*11)/factor_trimestre," - ")</f>
        <v>11.681614349775787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-0.26470588235294118</v>
      </c>
      <c r="AU14" s="1086" t="str">
        <f>IF(ISNUMBER((DatosP!#REF!-DatosP!#REF!+DatosP!#REF!)/(DatosP!#REF!+DatosP!#REF!-DatosP!#REF!-DatosP!#REF!)),(DatosP!#REF!-DatosP!#REF!+DatosP!#REF!)/(DatosP!#REF!+DatosP!#REF!-DatosP!#REF!-DatosP!#REF!)," - ")</f>
        <v xml:space="preserve"> - </v>
      </c>
      <c r="AV14" s="1092">
        <f>SUBTOTAL(9,AV9:AV13)</f>
        <v>1.1565357719203874E-2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4.7797805642633238</v>
      </c>
      <c r="AQ20" s="1091">
        <f>IF(ISNUMBER(((Datos!M20/Datos!L20)*11)/factor_trimestre),((Datos!M20/Datos!L20)*11)/factor_trimestre," - ")</f>
        <v>0.18298081652729958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1.9138755980861243E-2</v>
      </c>
      <c r="AW20" s="1093">
        <f>IF(ISNUMBER((Datos!Q20-Datos!R20)/(Datos!S20-Datos!Q20+Datos!R20)),(Datos!Q20-Datos!R20)/(Datos!S20-Datos!Q20+Datos!R20)," - ")</f>
        <v>-0.10401891252955082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34</v>
      </c>
      <c r="G21" s="1098">
        <f t="shared" si="4"/>
        <v>34</v>
      </c>
      <c r="H21" s="1098">
        <f t="shared" si="4"/>
        <v>0</v>
      </c>
      <c r="I21" s="1099">
        <f t="shared" si="4"/>
        <v>0</v>
      </c>
      <c r="J21" s="1100">
        <f t="shared" si="4"/>
        <v>0</v>
      </c>
      <c r="K21" s="1100">
        <f t="shared" si="4"/>
        <v>0</v>
      </c>
      <c r="L21" s="1100">
        <f t="shared" si="4"/>
        <v>0</v>
      </c>
      <c r="M21" s="1100">
        <f t="shared" si="4"/>
        <v>0</v>
      </c>
      <c r="N21" s="1099">
        <f t="shared" si="4"/>
        <v>251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v>
      </c>
      <c r="AC21" s="1104">
        <f t="shared" si="5"/>
        <v>0</v>
      </c>
      <c r="AD21" s="1104">
        <f t="shared" si="5"/>
        <v>207</v>
      </c>
      <c r="AE21" s="1104">
        <f t="shared" si="5"/>
        <v>0</v>
      </c>
      <c r="AF21" s="1105">
        <f t="shared" si="5"/>
        <v>44</v>
      </c>
      <c r="AG21" s="1105">
        <f t="shared" si="5"/>
        <v>0</v>
      </c>
      <c r="AH21" s="1105">
        <f t="shared" si="5"/>
        <v>3761</v>
      </c>
      <c r="AI21" s="1105">
        <f t="shared" si="5"/>
        <v>0</v>
      </c>
      <c r="AJ21" s="1106">
        <f t="shared" si="5"/>
        <v>0</v>
      </c>
      <c r="AK21" s="1106">
        <f t="shared" si="5"/>
        <v>0</v>
      </c>
      <c r="AL21" s="1098">
        <f t="shared" si="5"/>
        <v>159</v>
      </c>
      <c r="AM21" s="1098">
        <f t="shared" si="5"/>
        <v>333</v>
      </c>
      <c r="AN21" s="1098">
        <f t="shared" si="5"/>
        <v>0</v>
      </c>
      <c r="AO21" s="1098">
        <f t="shared" si="5"/>
        <v>0</v>
      </c>
      <c r="AP21" s="1098">
        <f>IF(ISNUMBER(((Datos!L21/Datos!K21)*11)/factor_trimestre),((Datos!L21/Datos!K21)*11)/factor_trimestre," - ")</f>
        <v>7.1537275064267352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-0.26470588235294118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1.189873417721519E-2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22.666666666666668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19.629909152447276</v>
      </c>
      <c r="G23" s="871">
        <f>IF(ISNUMBER(STDEV(G8:G20)),STDEV(G8:G20),"-")</f>
        <v>19.629909152447276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5.196152422706632</v>
      </c>
      <c r="AC23" s="872">
        <f>IF(ISNUMBER(STDEV(AC8:AC20)),STDEV(AC8:AC20),"-")</f>
        <v>0</v>
      </c>
      <c r="AD23" s="875"/>
      <c r="AE23" s="875"/>
      <c r="AF23" s="875"/>
      <c r="AG23" s="875"/>
      <c r="AH23" s="875"/>
      <c r="AI23" s="875"/>
      <c r="AJ23" s="876">
        <f>IF(ISNUMBER(STDEV(AJ8:AJ20)),STDEV(AJ8:AJ20),"-")</f>
        <v>0</v>
      </c>
      <c r="AK23" s="878"/>
      <c r="AL23" s="870">
        <f>IF(ISNUMBER(STDEV(AL8:AL20)),STDEV(AL8:AL20),"-")</f>
        <v>89.5190854883285</v>
      </c>
      <c r="AM23" s="870"/>
      <c r="AN23" s="870">
        <f>IF(ISNUMBER(STDEV(AN8:AN20)),STDEV(AN8:AN20),"-")</f>
        <v>0</v>
      </c>
      <c r="AO23" s="876">
        <f>IF(ISNUMBER(STDEV(AO8:AO20)),STDEV(AO8:AO20),"-")</f>
        <v>0</v>
      </c>
      <c r="AP23" s="923">
        <f>IF(ISNUMBER(STDEV(AP8:AP20)),STDEV(AP8:AP20),"-")</f>
        <v>4.1433451638787187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tpobn16rDIDPMC23BYcctpFZWfCZgMLDBVr61ivmptexnt9mxZW7V5CV5RA8ZV0ImN4WtZx6kiEi1dP0vB0xg==" saltValue="H7lIZFkh7Ez1fPzMeTv3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AVILA</v>
      </c>
      <c r="C3" s="427"/>
      <c r="F3" s="400"/>
      <c r="G3" s="400"/>
      <c r="H3" s="400"/>
    </row>
    <row r="4" spans="1:15" ht="13.5" thickBot="1">
      <c r="A4" s="400"/>
      <c r="B4" s="403" t="str">
        <f>Criterios!A11 &amp;"  "&amp;Criterios!B11</f>
        <v>Resumenes por Partidos Judiciales  AVILA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4T89tLwF8N4wa26G93OInpXJ/BrxcilnwqXUNLTII4UJbNnnwqnkPaO610U8YYOsFNvsfwt1FzsCblyjJi9+A==" saltValue="/V0+phBV+d+mUrS4VLSGE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AVILA</v>
      </c>
      <c r="C3" s="439"/>
      <c r="D3" s="440"/>
    </row>
    <row r="4" spans="1:9" ht="13.5" thickBot="1">
      <c r="B4" s="441" t="str">
        <f>Criterios!A11 &amp;"  "&amp;Criterios!B11</f>
        <v>Resumenes por Partidos Judiciales  AVILA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5</v>
      </c>
      <c r="G10" s="416">
        <f>IF(ISNUMBER(F10/B10),F10/B10," - ")</f>
        <v>5</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155</v>
      </c>
      <c r="E12" s="416">
        <f t="shared" si="0"/>
        <v>31</v>
      </c>
      <c r="F12" s="415">
        <f>IF(ISNUMBER(Datos!N12),Datos!N12," - ")</f>
        <v>328</v>
      </c>
      <c r="G12" s="416">
        <f t="shared" si="1"/>
        <v>65.599999999999994</v>
      </c>
      <c r="H12" s="415">
        <f>IF(ISNUMBER(Datos!O12),Datos!O12," - ")</f>
        <v>391</v>
      </c>
      <c r="I12" s="416">
        <f t="shared" si="2"/>
        <v>78.2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159</v>
      </c>
      <c r="E14" s="997">
        <f t="shared" si="0"/>
        <v>26.5</v>
      </c>
      <c r="F14" s="996">
        <f>SUBTOTAL(9,F9:F13)</f>
        <v>333</v>
      </c>
      <c r="G14" s="997">
        <f t="shared" si="1"/>
        <v>55.5</v>
      </c>
      <c r="H14" s="996">
        <f>SUBTOTAL(9,H9:H13)</f>
        <v>391</v>
      </c>
      <c r="I14" s="997">
        <f>IF(ISNUMBER(H14/B14),H14/B14," - ")</f>
        <v>65.166666666666671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113</v>
      </c>
      <c r="E17" s="416">
        <f t="shared" si="3"/>
        <v>22.6</v>
      </c>
      <c r="F17" s="415">
        <f>IF(ISNUMBER(Datos!N17),Datos!N17," - ")</f>
        <v>824</v>
      </c>
      <c r="G17" s="416">
        <f t="shared" si="4"/>
        <v>164.8</v>
      </c>
      <c r="H17" s="415">
        <f>IF(ISNUMBER(Datos!O17),Datos!O17," - ")</f>
        <v>9</v>
      </c>
      <c r="I17" s="416">
        <f t="shared" si="5"/>
        <v>1.8</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68</v>
      </c>
      <c r="G18" s="416">
        <f>IF(ISNUMBER(F18/B18),F18/B18," - ")</f>
        <v>68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124</v>
      </c>
      <c r="E20" s="997">
        <f t="shared" si="3"/>
        <v>20.666666666666668</v>
      </c>
      <c r="F20" s="996">
        <f>SUBTOTAL(9,F16:F19)</f>
        <v>892</v>
      </c>
      <c r="G20" s="997">
        <f t="shared" si="4"/>
        <v>148.66666666666666</v>
      </c>
      <c r="H20" s="996">
        <f>SUBTOTAL(9,H16:H19)</f>
        <v>9</v>
      </c>
      <c r="I20" s="997">
        <f>IF(ISNUMBER(H20/B20),H20/B20," - ")</f>
        <v>1.5</v>
      </c>
    </row>
    <row r="21" spans="1:9" ht="14.25" thickTop="1" thickBot="1">
      <c r="A21" s="940" t="str">
        <f>Datos!A21</f>
        <v>TOTAL JURISDICCIONES</v>
      </c>
      <c r="B21" s="941">
        <f>Datos!AP21</f>
        <v>5</v>
      </c>
      <c r="C21" s="941">
        <f>Datos!AR21</f>
        <v>5</v>
      </c>
      <c r="D21" s="941">
        <f>SUBTOTAL(9,D8:D20)</f>
        <v>283</v>
      </c>
      <c r="E21" s="942">
        <f>IF(ISNUMBER(D21/B21),D21/B21," - ")</f>
        <v>56.6</v>
      </c>
      <c r="F21" s="941">
        <f>SUBTOTAL(9,F8:F20)</f>
        <v>1225</v>
      </c>
      <c r="G21" s="942">
        <f>IF(ISNUMBER(F21/B21),F21/B21," - ")</f>
        <v>245</v>
      </c>
      <c r="H21" s="941">
        <f>SUBTOTAL(9,H8:H20)</f>
        <v>400</v>
      </c>
      <c r="I21" s="942">
        <f>IF(ISNUMBER(H21/B21),H21/B21," - ")</f>
        <v>80</v>
      </c>
    </row>
    <row r="24" spans="1:9">
      <c r="A24" s="403" t="str">
        <f>Criterios!A4</f>
        <v>Fecha Informe: 06 jun. 2023</v>
      </c>
    </row>
    <row r="29" spans="1:9">
      <c r="A29" s="426"/>
    </row>
  </sheetData>
  <sheetProtection algorithmName="SHA-512" hashValue="ZF7/XlBhjh1+qfBIt/ArNN57IE/X+ZzzZau4i3CABDfNvwoRSfRoSRApAncc1ccGOu7WzXUriihDaLrSPI/4JA==" saltValue="D4HeCb7DLObNeq9FhEv8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AVILA</v>
      </c>
    </row>
    <row r="4" spans="1:4" ht="13.5" thickBot="1">
      <c r="B4" s="403" t="str">
        <f>Criterios!A11 &amp;"  "&amp;Criterios!B11</f>
        <v>Resumenes por Partidos Judiciales  AVILA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23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250</v>
      </c>
      <c r="C12" s="451">
        <f>IF(ISNUMBER(Datos!Q12),Datos!Q12," - ")</f>
        <v>207</v>
      </c>
      <c r="D12" s="420">
        <f>IF(ISNUMBER(Datos!R12),Datos!R12," - ")</f>
        <v>3761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251</v>
      </c>
      <c r="C14" s="1000">
        <f>SUBTOTAL(9,C9:C13)</f>
        <v>208</v>
      </c>
      <c r="D14" s="998">
        <f>SUBTOTAL(9,D9:D13)</f>
        <v>3784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40</v>
      </c>
      <c r="C17" s="451">
        <f>IF(ISNUMBER(Datos!Q17),Datos!Q17," - ")</f>
        <v>36</v>
      </c>
      <c r="D17" s="420">
        <f>IF(ISNUMBER(Datos!R17),Datos!R17," - ")</f>
        <v>193</v>
      </c>
    </row>
    <row r="18" spans="1:4">
      <c r="A18" s="414" t="str">
        <f>Datos!A18</f>
        <v>Jdos. Violencia contra la mujer</v>
      </c>
      <c r="B18" s="450">
        <f>IF(ISNUMBER(Datos!P18),Datos!P18," - ")</f>
        <v>1</v>
      </c>
      <c r="C18" s="451">
        <f>IF(ISNUMBER(Datos!Q18),Datos!Q18," - ")</f>
        <v>1</v>
      </c>
      <c r="D18" s="420">
        <f>IF(ISNUMBER(Datos!R18),Datos!R18," - ")</f>
        <v>20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41</v>
      </c>
      <c r="C20" s="1000">
        <f>SUBTOTAL(9,C16:C19)</f>
        <v>37</v>
      </c>
      <c r="D20" s="998">
        <f>SUBTOTAL(9,D16:D19)</f>
        <v>213</v>
      </c>
    </row>
    <row r="21" spans="1:4" ht="16.5" customHeight="1" thickTop="1" thickBot="1">
      <c r="A21" s="940" t="str">
        <f>Datos!A21</f>
        <v>TOTAL JURISDICCIONES</v>
      </c>
      <c r="B21" s="945">
        <f>SUBTOTAL(9,B8:B20)</f>
        <v>292</v>
      </c>
      <c r="C21" s="946">
        <f>SUBTOTAL(9,C8:C20)</f>
        <v>245</v>
      </c>
      <c r="D21" s="947">
        <f>SUBTOTAL(9,D8:D20)</f>
        <v>3997</v>
      </c>
    </row>
    <row r="22" spans="1:4" ht="7.5" customHeight="1"/>
    <row r="23" spans="1:4" ht="6" customHeight="1"/>
    <row r="24" spans="1:4">
      <c r="A24" s="403" t="str">
        <f>Criterios!A4</f>
        <v>Fecha Informe: 06 jun. 2023</v>
      </c>
    </row>
    <row r="29" spans="1:4">
      <c r="A29" s="426"/>
    </row>
  </sheetData>
  <sheetProtection algorithmName="SHA-512" hashValue="D41CfDx2mkHf/mzPWHQKFvQApz2yXOZt05bywVY0USoNvzO12tiRfjSMNKPIE4X1mU8s+wjhETlHrmZgx+lZ5g==" saltValue="Tfh+/UV/4qeUOvwwTCm9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AVILA</v>
      </c>
    </row>
    <row r="4" spans="1:11" ht="10.5" customHeight="1" thickBot="1">
      <c r="B4" s="403" t="str">
        <f>Criterios!A11 &amp;"  "&amp;Criterios!B11</f>
        <v>Resumenes por Partidos Judiciales  AVILA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-0.38181818181818183</v>
      </c>
      <c r="C10" s="473">
        <f>IF(ISNUMBER((Datos!J10-Datos!T10)/Datos!T10),(Datos!J10-Datos!T10)/Datos!T10," - ")</f>
        <v>0.1875</v>
      </c>
      <c r="D10" s="473">
        <f>IF(ISNUMBER((Datos!K10-Datos!U10)/Datos!U10),(Datos!K10-Datos!U10)/Datos!U10," - ")</f>
        <v>-0.30769230769230771</v>
      </c>
      <c r="E10" s="473">
        <f>IF(ISNUMBER((Datos!L10-Datos!V10)/Datos!V10),(Datos!L10-Datos!V10)/Datos!V10," - ")</f>
        <v>-0.2413793103448276</v>
      </c>
      <c r="F10" s="473">
        <f>IF(ISNUMBER((Datos!M10-Datos!W10)/Datos!W10),(Datos!M10-Datos!W10)/Datos!W10," - ")</f>
        <v>-0.42857142857142855</v>
      </c>
      <c r="G10" s="474" t="str">
        <f>IF(ISNUMBER((Datos!N10-Datos!X10)/Datos!X10),(Datos!N10-Datos!X10)/Datos!X10," - ")</f>
        <v xml:space="preserve"> - </v>
      </c>
      <c r="H10" s="472">
        <f>IF(ISNUMBER(((NºAsuntos!G10/NºAsuntos!E10)-Datos!BD10)/Datos!BD10),((NºAsuntos!G10/NºAsuntos!E10)-Datos!BD10)/Datos!BD10," - ")</f>
        <v>-0.417004048582996</v>
      </c>
      <c r="I10" s="473">
        <f>IF(ISNUMBER(((NºAsuntos!I10/NºAsuntos!G10)-Datos!BE10)/Datos!BE10),((NºAsuntos!I10/NºAsuntos!G10)-Datos!BE10)/Datos!BE10," - ")</f>
        <v>9.5785440613026879E-2</v>
      </c>
      <c r="J10" s="478">
        <f>IF(ISNUMBER((('Resol  Asuntos'!D10/NºAsuntos!G10)-Datos!BF10)/Datos!BF10),(('Resol  Asuntos'!D10/NºAsuntos!G10)-Datos!BF10)/Datos!BF10," - ")</f>
        <v>-0.17460317460317462</v>
      </c>
      <c r="K10" s="479">
        <f>IF(ISNUMBER((((NºAsuntos!C10+NºAsuntos!E10)/NºAsuntos!G10)-Datos!BG10)/Datos!BG10),(((NºAsuntos!C10+NºAsuntos!E10)/NºAsuntos!G10)-Datos!BG10)/Datos!BG10," - ")</f>
        <v>7.8247261345852942E-2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0.21989528795811519</v>
      </c>
      <c r="C12" s="473">
        <f>IF(ISNUMBER(
   IF(J_V="SI",(Datos!J12-Datos!T12)/Datos!T12,(Datos!J12+Datos!Z12-(Datos!T12+Datos!AH12))/(Datos!T12+Datos!AH12))
     ),IF(J_V="SI",(Datos!J12-Datos!T12)/Datos!T12,(Datos!J12+Datos!Z12-(Datos!T12+Datos!AH12))/(Datos!T12+Datos!AH12))," - ")</f>
        <v>-3.0895983522142123E-2</v>
      </c>
      <c r="D12" s="473">
        <f>IF(ISNUMBER(
   IF(J_V="SI",(Datos!K12-Datos!U12)/Datos!U12,(Datos!K12+Datos!AA12-(Datos!U12+Datos!AI12))/(Datos!U12+Datos!AI12))
     ),IF(J_V="SI",(Datos!K12-Datos!U12)/Datos!U12,(Datos!K12+Datos!AA12-(Datos!U12+Datos!AI12))/(Datos!U12+Datos!AI12))," - ")</f>
        <v>-0.25073746312684364</v>
      </c>
      <c r="E12" s="473">
        <f>IF(ISNUMBER(
   IF(J_V="SI",(Datos!L12-Datos!V12)/Datos!V12,(Datos!L12+Datos!AB12-(Datos!V12+Datos!AJ12))/(Datos!V12+Datos!AJ12))
     ),IF(J_V="SI",(Datos!L12-Datos!V12)/Datos!V12,(Datos!L12+Datos!AB12-(Datos!V12+Datos!AJ12))/(Datos!V12+Datos!AJ12))," - ")</f>
        <v>0.31762991743564839</v>
      </c>
      <c r="F12" s="473">
        <f>IF(ISNUMBER((Datos!M12-Datos!W12)/Datos!W12),(Datos!M12-Datos!W12)/Datos!W12," - ")</f>
        <v>-0.47278911564625853</v>
      </c>
      <c r="G12" s="474">
        <f>IF(ISNUMBER((Datos!N12-Datos!X12)/Datos!X12),(Datos!N12-Datos!X12)/Datos!X12," - ")</f>
        <v>-0.1368421052631579</v>
      </c>
      <c r="H12" s="472">
        <f>IF(ISNUMBER(((NºAsuntos!G12/NºAsuntos!E12)-Datos!BD12)/Datos!BD12),((NºAsuntos!G12/NºAsuntos!E12)-Datos!BD12)/Datos!BD12," - ")</f>
        <v>-0.22685024090984618</v>
      </c>
      <c r="I12" s="473">
        <f>IF(ISNUMBER(((NºAsuntos!I12/NºAsuntos!G12)-Datos!BE12)/Datos!BE12),((NºAsuntos!I12/NºAsuntos!G12)-Datos!BE12)/Datos!BE12," - ")</f>
        <v>0.75856906303419225</v>
      </c>
      <c r="J12" s="478">
        <f>IF(ISNUMBER((('Resol  Asuntos'!D12/NºAsuntos!G12)-Datos!BF12)/Datos!BF12),(('Resol  Asuntos'!D12/NºAsuntos!G12)-Datos!BF12)/Datos!BF12," - ")</f>
        <v>-0.455605055946954</v>
      </c>
      <c r="K12" s="479">
        <f>IF(ISNUMBER((((NºAsuntos!C12+NºAsuntos!E12)/NºAsuntos!G12)-Datos!BG12)/Datos!BG12),(((NºAsuntos!C12+NºAsuntos!E12)/NºAsuntos!G12)-Datos!BG12)/Datos!BG12," - ")</f>
        <v>0.52233021653543299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0.20454545454545456</v>
      </c>
      <c r="C14" s="1002">
        <f>IF(ISNUMBER(
   IF(J_V="SI",(Datos!J14-Datos!T14)/Datos!T14,(Datos!J14+Datos!Z14-(Datos!T14+Datos!AH14))/(Datos!T14+Datos!AH14))
     ),IF(J_V="SI",(Datos!J14-Datos!T14)/Datos!T14,(Datos!J14+Datos!Z14-(Datos!T14+Datos!AH14))/(Datos!T14+Datos!AH14))," - ")</f>
        <v>-2.7355623100303952E-2</v>
      </c>
      <c r="D14" s="1002">
        <f>IF(ISNUMBER(
   IF(J_V="SI",(Datos!K14-Datos!U14)/Datos!U14,(Datos!K14+Datos!AA14-(Datos!U14+Datos!AI14))/(Datos!U14+Datos!AI14))
     ),IF(J_V="SI",(Datos!K14-Datos!U14)/Datos!U14,(Datos!K14+Datos!AA14-(Datos!U14+Datos!AI14))/(Datos!U14+Datos!AI14))," - ")</f>
        <v>-0.25145631067961166</v>
      </c>
      <c r="E14" s="1002">
        <f>IF(ISNUMBER(
   IF(J_V="SI",(Datos!L14-Datos!V14)/Datos!V14,(Datos!L14+Datos!AB14-(Datos!V14+Datos!AJ14))/(Datos!V14+Datos!AJ14))
     ),IF(J_V="SI",(Datos!L14-Datos!V14)/Datos!V14,(Datos!L14+Datos!AB14-(Datos!V14+Datos!AJ14))/(Datos!V14+Datos!AJ14))," - ")</f>
        <v>0.30231459612659423</v>
      </c>
      <c r="F14" s="1003">
        <f>IF(ISNUMBER((Datos!M14-Datos!W14)/Datos!W14),(Datos!M14-Datos!W14)/Datos!W14," - ")</f>
        <v>-0.47176079734219267</v>
      </c>
      <c r="G14" s="1004">
        <f>IF(ISNUMBER((Datos!N14-Datos!X14)/Datos!X14),(Datos!N14-Datos!X14)/Datos!X14," - ")</f>
        <v>-0.12368421052631579</v>
      </c>
      <c r="H14" s="1004">
        <f>IF(ISNUMBER(((NºAsuntos!G14/NºAsuntos!E14)-Datos!BD14)/Datos!BD14),((NºAsuntos!G14/NºAsuntos!E14)-Datos!BD14)/Datos!BD14," - ")</f>
        <v>-0.23040351941747575</v>
      </c>
      <c r="I14" s="1004">
        <f>IF(ISNUMBER(((NºAsuntos!I14/NºAsuntos!G14)-Datos!BE14)/Datos!BE14),((NºAsuntos!I14/NºAsuntos!G14)-Datos!BE14)/Datos!BE14," - ")</f>
        <v>0.73979770948170198</v>
      </c>
      <c r="J14" s="1004">
        <f>IF(ISNUMBER((('Resol  Asuntos'!D14/NºAsuntos!G14)-Datos!BF14)/Datos!BF14),(('Resol  Asuntos'!D14/NºAsuntos!G14)-Datos!BF14)/Datos!BF14," - ")</f>
        <v>-0.45113061663600074</v>
      </c>
      <c r="K14" s="1004">
        <f>IF(ISNUMBER((((NºAsuntos!C14+NºAsuntos!E14)/NºAsuntos!G14)-Datos!BG14)/Datos!BG14),(((NºAsuntos!C14+NºAsuntos!E14)/NºAsuntos!G14)-Datos!BG14)/Datos!BG14," - ")</f>
        <v>0.51189743704020985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0.3667687595712098</v>
      </c>
      <c r="C17" s="473">
        <f>IF(ISNUMBER(
   IF(D_I="SI",(Datos!J17-Datos!T17)/Datos!T17,(Datos!J17+Datos!AD17-(Datos!T17+Datos!AL17))/(Datos!T17+Datos!AL17))
     ),IF(D_I="SI",(Datos!J17-Datos!T17)/Datos!T17,(Datos!J17+Datos!AD17-(Datos!T17+Datos!AL17))/(Datos!T17+Datos!AL17))," - ")</f>
        <v>0.15438247011952191</v>
      </c>
      <c r="D17" s="473">
        <f>IF(ISNUMBER(
   IF(D_I="SI",(Datos!K17-Datos!U17)/Datos!U17,(Datos!K17+Datos!AE17-(Datos!U17+Datos!AM17))/(Datos!U17+Datos!AM17))
     ),IF(D_I="SI",(Datos!K17-Datos!U17)/Datos!U17,(Datos!K17+Datos!AE17-(Datos!U17+Datos!AM17))/(Datos!U17+Datos!AM17))," - ")</f>
        <v>0.30786267995570321</v>
      </c>
      <c r="E17" s="473">
        <f>IF(ISNUMBER(
   IF(D_I="SI",(Datos!L17-Datos!V17)/Datos!V17,(Datos!L17+Datos!AF17-(Datos!V17+Datos!AN17))/(Datos!V17+Datos!AN17))
     ),IF(D_I="SI",(Datos!L17-Datos!V17)/Datos!V17,(Datos!L17+Datos!AF17-(Datos!V17+Datos!AN17))/(Datos!V17+Datos!AN17))," - ")</f>
        <v>0.31906906906906907</v>
      </c>
      <c r="F17" s="473">
        <f>IF(ISNUMBER((Datos!M17-Datos!W17)/Datos!W17),(Datos!M17-Datos!W17)/Datos!W17," - ")</f>
        <v>-0.25165562913907286</v>
      </c>
      <c r="G17" s="474">
        <f>IF(ISNUMBER((Datos!N17-Datos!X17)/Datos!X17),(Datos!N17-Datos!X17)/Datos!X17," - ")</f>
        <v>0.54596622889305813</v>
      </c>
      <c r="H17" s="472">
        <f>IF(ISNUMBER(((NºAsuntos!G17/NºAsuntos!E17)-Datos!BD17)/Datos!BD17),((NºAsuntos!G17/NºAsuntos!E17)-Datos!BD17)/Datos!BD17," - ")</f>
        <v>0.13295438367172227</v>
      </c>
      <c r="I17" s="473">
        <f>IF(ISNUMBER(((NºAsuntos!I17/NºAsuntos!G17)-Datos!BE17)/Datos!BE17),((NºAsuntos!I17/NºAsuntos!G17)-Datos!BE17)/Datos!BE17," - ")</f>
        <v>8.5684753339283493E-3</v>
      </c>
      <c r="J17" s="478">
        <f>IF(ISNUMBER((('Resol  Asuntos'!D17/NºAsuntos!G17)-Datos!BF17)/Datos!BF17),(('Resol  Asuntos'!D17/NºAsuntos!G17)-Datos!BF17)/Datos!BF17," - ")</f>
        <v>-0.42781120500642067</v>
      </c>
      <c r="K17" s="479">
        <f>IF(ISNUMBER((((NºAsuntos!C17+NºAsuntos!E17)/NºAsuntos!G17)-Datos!BG17)/Datos!BG17),(((NºAsuntos!C17+NºAsuntos!E17)/NºAsuntos!G17)-Datos!BG17)/Datos!BG17," - ")</f>
        <v>-2.554075898699101E-2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0.54761904761904767</v>
      </c>
      <c r="C18" s="473">
        <f>IF(ISNUMBER(
   IF(D_I="SI",(Datos!J18-Datos!T18)/Datos!T18,(Datos!J18+Datos!AD18-(Datos!T18+Datos!AL18))/(Datos!T18+Datos!AL18))
     ),IF(D_I="SI",(Datos!J18-Datos!T18)/Datos!T18,(Datos!J18+Datos!AD18-(Datos!T18+Datos!AL18))/(Datos!T18+Datos!AL18))," - ")</f>
        <v>0.4606741573033708</v>
      </c>
      <c r="D18" s="473">
        <f>IF(ISNUMBER(
   IF(D_I="SI",(Datos!K18-Datos!U18)/Datos!U18,(Datos!K18+Datos!AE18-(Datos!U18+Datos!AM18))/(Datos!U18+Datos!AM18))
     ),IF(D_I="SI",(Datos!K18-Datos!U18)/Datos!U18,(Datos!K18+Datos!AE18-(Datos!U18+Datos!AM18))/(Datos!U18+Datos!AM18))," - ")</f>
        <v>1.0638297872340425E-2</v>
      </c>
      <c r="E18" s="473">
        <f>IF(ISNUMBER(
   IF(D_I="SI",(Datos!L18-Datos!V18)/Datos!V18,(Datos!L18+Datos!AF18-(Datos!V18+Datos!AN18))/(Datos!V18+Datos!AN18))
     ),IF(D_I="SI",(Datos!L18-Datos!V18)/Datos!V18,(Datos!L18+Datos!AF18-(Datos!V18+Datos!AN18))/(Datos!V18+Datos!AN18))," - ")</f>
        <v>0.33980582524271846</v>
      </c>
      <c r="F18" s="473">
        <f>IF(ISNUMBER((Datos!M18-Datos!W18)/Datos!W18),(Datos!M18-Datos!W18)/Datos!W18," - ")</f>
        <v>1.2</v>
      </c>
      <c r="G18" s="474">
        <f>IF(ISNUMBER((Datos!N18-Datos!X18)/Datos!X18),(Datos!N18-Datos!X18)/Datos!X18," - ")</f>
        <v>0</v>
      </c>
      <c r="H18" s="472">
        <f>IF(ISNUMBER(((NºAsuntos!G18/NºAsuntos!E18)-Datos!BD18)/Datos!BD18),((NºAsuntos!G18/NºAsuntos!E18)-Datos!BD18)/Datos!BD18," - ")</f>
        <v>-0.30810147299509</v>
      </c>
      <c r="I18" s="473">
        <f>IF(ISNUMBER(((NºAsuntos!I18/NºAsuntos!G18)-Datos!BE18)/Datos!BE18),((NºAsuntos!I18/NºAsuntos!G18)-Datos!BE18)/Datos!BE18," - ")</f>
        <v>0.3257026060296373</v>
      </c>
      <c r="J18" s="478">
        <f>IF(ISNUMBER((('Resol  Asuntos'!D18/NºAsuntos!G18)-Datos!BF18)/Datos!BF18),(('Resol  Asuntos'!D18/NºAsuntos!G18)-Datos!BF18)/Datos!BF18," - ")</f>
        <v>1.1768421052631579</v>
      </c>
      <c r="K18" s="479">
        <f>IF(ISNUMBER((((NºAsuntos!C18+NºAsuntos!E18)/NºAsuntos!G18)-Datos!BG18)/Datos!BG18),(((NºAsuntos!C18+NºAsuntos!E18)/NºAsuntos!G18)-Datos!BG18)/Datos!BG18," - ")</f>
        <v>0.50572082379862704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0.39182058047493401</v>
      </c>
      <c r="C20" s="1002">
        <f>IF(ISNUMBER(
   IF(Criterios!B14="SI",(Datos!J20-Datos!T20)/Datos!T20,(Datos!J20+Datos!AD20-(Datos!T20+Datos!AL20))/(Datos!T20+Datos!AL20))
     ),IF(Criterios!B14="SI",(Datos!J20-Datos!T20)/Datos!T20,(Datos!J20+Datos!AD20-(Datos!T20+Datos!AL20))/(Datos!T20+Datos!AL20))," - ")</f>
        <v>0.17932296431838976</v>
      </c>
      <c r="D20" s="1002">
        <f>IF(ISNUMBER(
   IF(Criterios!B14="SI",(Datos!K20-Datos!U20)/Datos!U20,(Datos!K20+Datos!AE20-(Datos!U20+Datos!AM20))/(Datos!U20+Datos!AM20))
     ),IF(Criterios!B14="SI",(Datos!K20-Datos!U20)/Datos!U20,(Datos!K20+Datos!AE20-(Datos!U20+Datos!AM20))/(Datos!U20+Datos!AM20))," - ")</f>
        <v>0.27983951855566702</v>
      </c>
      <c r="E20" s="1002">
        <f>IF(ISNUMBER(
   IF(Criterios!B14="SI",(Datos!L20-Datos!V20)/Datos!V20,(Datos!L20+Datos!AF20-(Datos!V20+Datos!AN20))/(Datos!V20+Datos!AN20))
     ),IF(Criterios!B14="SI",(Datos!L20-Datos!V20)/Datos!V20,(Datos!L20+Datos!AF20-(Datos!V20+Datos!AN20))/(Datos!V20+Datos!AN20))," - ")</f>
        <v>0.32184655396618983</v>
      </c>
      <c r="F20" s="1003">
        <f>IF(ISNUMBER((Datos!M20-Datos!W20)/Datos!W20),(Datos!M20-Datos!W20)/Datos!W20," - ")</f>
        <v>-0.20512820512820512</v>
      </c>
      <c r="G20" s="1004">
        <f>IF(ISNUMBER((Datos!N20-Datos!X20)/Datos!X20),(Datos!N20-Datos!X20)/Datos!X20," - ")</f>
        <v>0.48419301164725459</v>
      </c>
      <c r="H20" s="1004">
        <f>IF(ISNUMBER(((NºAsuntos!G20/NºAsuntos!E20)-Datos!BD20)/Datos!BD20),((NºAsuntos!G20/NºAsuntos!E20)-Datos!BD20)/Datos!BD20," - ")</f>
        <v>8.5232423414541569E-2</v>
      </c>
      <c r="I20" s="1004">
        <f>IF(ISNUMBER(((NºAsuntos!I20/NºAsuntos!G20)-Datos!BE20)/Datos!BE20),((NºAsuntos!I20/NºAsuntos!G20)-Datos!BE20)/Datos!BE20," - ")</f>
        <v>3.2822111523739324E-2</v>
      </c>
      <c r="J20" s="1004">
        <f>IF(ISNUMBER((('Resol  Asuntos'!D20/NºAsuntos!G20)-Datos!BF20)/Datos!BF20),(('Resol  Asuntos'!D20/NºAsuntos!G20)-Datos!BF20)/Datos!BF20," - ")</f>
        <v>-0.37892854272164628</v>
      </c>
      <c r="K20" s="1004">
        <f>IF(ISNUMBER((((NºAsuntos!C20+NºAsuntos!E20)/NºAsuntos!G20)-Datos!BG20)/Datos!BG20),(((NºAsuntos!C20+NºAsuntos!E20)/NºAsuntos!G20)-Datos!BG20)/Datos!BG20," - ")</f>
        <v>1.7938568086596839E-2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0.28186274509803921</v>
      </c>
      <c r="C21" s="949">
        <f>IF(ISNUMBER(
   IF(J_V="SI",(Datos!J21-Datos!T21)/Datos!T21,(Datos!J21+Datos!Z21-(Datos!T21+Datos!AH21))/(Datos!T21+Datos!AH21))
     ),IF(J_V="SI",(Datos!J21-Datos!T21)/Datos!T21,(Datos!J21+Datos!Z21-(Datos!T21+Datos!AH21))/(Datos!T21+Datos!AH21))," - ")</f>
        <v>8.1250000000000003E-2</v>
      </c>
      <c r="D21" s="949">
        <f>IF(ISNUMBER(
   IF(J_V="SI",(Datos!K21-Datos!U21)/Datos!U21,(Datos!K21+Datos!AA21-(Datos!U21+Datos!AI21))/(Datos!U21+Datos!AI21))
     ),IF(J_V="SI",(Datos!K21-Datos!U21)/Datos!U21,(Datos!K21+Datos!AA21-(Datos!U21+Datos!AI21))/(Datos!U21+Datos!AI21))," - ")</f>
        <v>9.8667982239763197E-3</v>
      </c>
      <c r="E21" s="949">
        <f>IF(ISNUMBER(
   IF(J_V="SI",(Datos!L21-Datos!V21)/Datos!V21,(Datos!L21+Datos!AB21-(Datos!V21+Datos!AJ21))/(Datos!V21+Datos!AJ21))
     ),IF(J_V="SI",(Datos!L21-Datos!V21)/Datos!V21,(Datos!L21+Datos!AB21-(Datos!V21+Datos!AJ21))/(Datos!V21+Datos!AJ21))," - ")</f>
        <v>0.31053351573187415</v>
      </c>
      <c r="F21" s="950">
        <f>IF(ISNUMBER((Datos!M21-Datos!W21)/Datos!W21),(Datos!M21-Datos!W21)/Datos!W21," - ")</f>
        <v>-0.38074398249452956</v>
      </c>
      <c r="G21" s="951">
        <f>IF(ISNUMBER((Datos!N21-Datos!X21)/Datos!X21),(Datos!N21-Datos!X21)/Datos!X21," - ")</f>
        <v>0.24872579001019368</v>
      </c>
      <c r="H21" s="952">
        <f>IF(ISNUMBER((Tasas!B21-Datos!BD21)/Datos!BD21),(Tasas!B21-Datos!BD21)/Datos!BD21," - ")</f>
        <v>-6.6019146151235705E-2</v>
      </c>
      <c r="I21" s="953">
        <f>IF(ISNUMBER((Tasas!C21-Datos!BE21)/Datos!BE21),(Tasas!C21-Datos!BE21)/Datos!BE21," - ")</f>
        <v>0.29772908470371728</v>
      </c>
      <c r="J21" s="954">
        <f>IF(ISNUMBER((Tasas!D21-Datos!BF21)/Datos!BF21),(Tasas!D21-Datos!BF21)/Datos!BF21," - ")</f>
        <v>-0.48391348431563597</v>
      </c>
      <c r="K21" s="954">
        <f>IF(ISNUMBER((Tasas!E21-Datos!BG21)/Datos!BG21),(Tasas!E21-Datos!BG21)/Datos!BG21," - ")</f>
        <v>0.19750297766058136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IDgoHMTI8w7dsPo+0GylZ++OKIIrJmqAA1teCWYajg/rmBC8kaKDXplZTaS923NyKMc44DkfLMTe13uh5Qj2g==" saltValue="lSI2/T6d5ut+Wx6IoAxXI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AVILA</v>
      </c>
    </row>
    <row r="4" spans="1:7" ht="11.25" customHeight="1" thickBot="1">
      <c r="B4" s="403" t="str">
        <f>Criterios!A11 &amp;"  "&amp;Criterios!B11</f>
        <v>Resumenes por Partidos Judiciales  AVILA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0.47368421052631576</v>
      </c>
      <c r="C10" s="460">
        <f>IF(ISNUMBER(NºAsuntos!I10/NºAsuntos!G10),NºAsuntos!I10/NºAsuntos!G10," - ")</f>
        <v>4.8888888888888893</v>
      </c>
      <c r="D10" s="461">
        <f>IF(ISNUMBER('Resol  Asuntos'!D10/NºAsuntos!G10),'Resol  Asuntos'!D10/NºAsuntos!G10," - ")</f>
        <v>0.44444444444444442</v>
      </c>
      <c r="E10" s="462">
        <f>IF(ISNUMBER((NºAsuntos!C10+NºAsuntos!E10)/NºAsuntos!G10),(NºAsuntos!C10+NºAsuntos!E10)/NºAsuntos!G10," - ")</f>
        <v>5.8888888888888893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0.80977683315621674</v>
      </c>
      <c r="C12" s="460">
        <f>IF(ISNUMBER(NºAsuntos!I12/NºAsuntos!G12),NºAsuntos!I12/NºAsuntos!G12," - ")</f>
        <v>3.5603674540682415</v>
      </c>
      <c r="D12" s="461">
        <f>IF(ISNUMBER('Resol  Asuntos'!D12/NºAsuntos!G12),'Resol  Asuntos'!D12/NºAsuntos!G12," - ")</f>
        <v>0.20341207349081364</v>
      </c>
      <c r="E12" s="462">
        <f>IF(ISNUMBER((NºAsuntos!C12+NºAsuntos!E12)/NºAsuntos!G12),(NºAsuntos!C12+NºAsuntos!E12)/NºAsuntos!G12," - ")</f>
        <v>4.5984251968503935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0.80312499999999998</v>
      </c>
      <c r="C14" s="1006">
        <f>IF(ISNUMBER(NºAsuntos!I14/NºAsuntos!G14),NºAsuntos!I14/NºAsuntos!G14," - ")</f>
        <v>3.5758754863813231</v>
      </c>
      <c r="D14" s="1007">
        <f>IF(ISNUMBER('Resol  Asuntos'!D14/NºAsuntos!G14),'Resol  Asuntos'!D14/NºAsuntos!G14," - ")</f>
        <v>0.20622568093385213</v>
      </c>
      <c r="E14" s="1008">
        <f>IF(ISNUMBER((NºAsuntos!C14+NºAsuntos!E14)/NºAsuntos!G14),(NºAsuntos!C14+NºAsuntos!E14)/NºAsuntos!G14," - ")</f>
        <v>4.6134889753566792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1.0189818809318378</v>
      </c>
      <c r="C17" s="460">
        <f>IF(ISNUMBER(NºAsuntos!I17/NºAsuntos!G17),NºAsuntos!I17/NºAsuntos!G17," - ")</f>
        <v>1.4877222692633361</v>
      </c>
      <c r="D17" s="461">
        <f>IF(ISNUMBER('Resol  Asuntos'!D17/NºAsuntos!G17),'Resol  Asuntos'!D17/NºAsuntos!G17," - ")</f>
        <v>9.5681625740897544E-2</v>
      </c>
      <c r="E17" s="462">
        <f>IF(ISNUMBER((NºAsuntos!C17+NºAsuntos!E17)/NºAsuntos!G17),(NºAsuntos!C17+NºAsuntos!E17)/NºAsuntos!G17," - ")</f>
        <v>2.4928027095681626</v>
      </c>
      <c r="G17" s="480"/>
    </row>
    <row r="18" spans="1:7">
      <c r="A18" s="414" t="str">
        <f>Datos!A18</f>
        <v>Jdos. Violencia contra la mujer</v>
      </c>
      <c r="B18" s="459">
        <f>IF(ISNUMBER(NºAsuntos!G18/NºAsuntos!E18),NºAsuntos!G18/NºAsuntos!E18," - ")</f>
        <v>0.73076923076923073</v>
      </c>
      <c r="C18" s="460">
        <f>IF(ISNUMBER(NºAsuntos!I18/NºAsuntos!G18),NºAsuntos!I18/NºAsuntos!G18," - ")</f>
        <v>2.905263157894737</v>
      </c>
      <c r="D18" s="461">
        <f>IF(ISNUMBER('Resol  Asuntos'!D18/NºAsuntos!G18),'Resol  Asuntos'!D18/NºAsuntos!G18," - ")</f>
        <v>0.11578947368421053</v>
      </c>
      <c r="E18" s="462">
        <f>IF(ISNUMBER((NºAsuntos!C18+NºAsuntos!E18)/NºAsuntos!G18),(NºAsuntos!C18+NºAsuntos!E18)/NºAsuntos!G18," - ")</f>
        <v>4.7894736842105265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0.98991466252909233</v>
      </c>
      <c r="C20" s="1006">
        <f>IF(ISNUMBER(NºAsuntos!I20/NºAsuntos!G20),NºAsuntos!I20/NºAsuntos!G20," - ")</f>
        <v>1.5932601880877744</v>
      </c>
      <c r="D20" s="1009">
        <f>IF(ISNUMBER('Resol  Asuntos'!D20/NºAsuntos!G20),'Resol  Asuntos'!D20/NºAsuntos!G20," - ")</f>
        <v>9.7178683385579931E-2</v>
      </c>
      <c r="E20" s="1008">
        <f>IF(ISNUMBER((NºAsuntos!C20+NºAsuntos!E20)/NºAsuntos!G20),(NºAsuntos!C20+NºAsuntos!E20)/NºAsuntos!G20," - ")</f>
        <v>2.6637931034482758</v>
      </c>
      <c r="G20" s="480"/>
    </row>
    <row r="21" spans="1:7" ht="15.75" customHeight="1" thickTop="1" thickBot="1">
      <c r="A21" s="940" t="str">
        <f>Datos!A21</f>
        <v>TOTAL JURISDICCIONES</v>
      </c>
      <c r="B21" s="955">
        <f>IF(ISNUMBER(NºAsuntos!G21/NºAsuntos!E21),NºAsuntos!G21/NºAsuntos!E21," - ")</f>
        <v>0.91018230324588711</v>
      </c>
      <c r="C21" s="956">
        <f>IF(ISNUMBER(NºAsuntos!I21/NºAsuntos!G21),NºAsuntos!I21/NºAsuntos!G21," - ")</f>
        <v>2.3400097703957012</v>
      </c>
      <c r="D21" s="957">
        <f>IF(ISNUMBER('Resol  Asuntos'!D21/NºAsuntos!G21),'Resol  Asuntos'!D21/NºAsuntos!G21," - ")</f>
        <v>0.13825109916951636</v>
      </c>
      <c r="E21" s="958">
        <f>IF(ISNUMBER((NºAsuntos!C21+NºAsuntos!E21)/NºAsuntos!G21),(NºAsuntos!C21+NºAsuntos!E21)/NºAsuntos!G21," - ")</f>
        <v>3.3981436248168051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BkvSmMFl97Ioaxy0oDBecnZ4c4oSonO+nuT769LSWtEzU2z9iGxXwsiFKZ3916HtghwoHw7rx5GJU9eGBD4ag==" saltValue="zX0zhjnajeyOd1RgoAL7C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AVILA</v>
      </c>
      <c r="N2" s="339" t="str">
        <f>Criterios!A11 &amp;"  "&amp;Criterios!B11</f>
        <v>Resumenes por Partidos Judiciales  AVILA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34</v>
      </c>
      <c r="G10" s="343">
        <f>IF(ISNUMBER(Datos!I10),Datos!I10," - ")</f>
        <v>34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v>
      </c>
      <c r="X10" s="231">
        <f>IF(ISNUMBER(Datos!Q10),Datos!Q10," - ")</f>
        <v>1</v>
      </c>
      <c r="Y10" s="344">
        <f t="shared" ref="Y10:Y13" si="0">SUM(W10:X10)</f>
        <v>10</v>
      </c>
      <c r="Z10" s="345" t="str">
        <f>IF(ISNUMBER(Datos!CC10),Datos!CC10," - ")</f>
        <v xml:space="preserve"> - </v>
      </c>
      <c r="AA10" s="342">
        <f>IF(ISNUMBER(Datos!L10),Datos!L10,"-")</f>
        <v>44</v>
      </c>
      <c r="AB10" s="344">
        <f>IF(ISNUMBER(Datos!R10),Datos!R10," - ")</f>
        <v>23</v>
      </c>
      <c r="AC10" s="344">
        <f t="shared" ref="AC10:AC13" si="1">IF(ISNUMBER(AA10+AB10),AA10+AB10," - ")</f>
        <v>67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0.47368421052631576</v>
      </c>
      <c r="AM10" s="265">
        <f>IF(ISNUMBER(((NºAsuntos!I10/NºAsuntos!G10)*11)/factor_trimestre),((NºAsuntos!I10/NºAsuntos!G10)*11)/factor_trimestre," - ")</f>
        <v>14.66666666666667</v>
      </c>
      <c r="AN10" s="249">
        <f>IF(ISNUMBER('Resol  Asuntos'!D10/NºAsuntos!G10),'Resol  Asuntos'!D10/NºAsuntos!G10," - ")</f>
        <v>0.44444444444444442</v>
      </c>
      <c r="AO10" s="250">
        <f>IF(ISNUMBER((NºAsuntos!C10+NºAsuntos!E10)/NºAsuntos!G10),(NºAsuntos!C10+NºAsuntos!E10)/NºAsuntos!G10," - ")</f>
        <v>5.8888888888888893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250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207</v>
      </c>
      <c r="Y12" s="344">
        <f t="shared" si="0"/>
        <v>207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3761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155</v>
      </c>
      <c r="AJ12" s="234" t="str">
        <f>IF(ISNUMBER(Datos!BW12),Datos!BW12," - ")</f>
        <v xml:space="preserve"> - </v>
      </c>
      <c r="AK12" s="233" t="str">
        <f>IF(ISNUMBER(Datos!BX12),Datos!BX12," - ")</f>
        <v xml:space="preserve"> - </v>
      </c>
      <c r="AL12" s="248">
        <f>IF(ISNUMBER(NºAsuntos!G12/NºAsuntos!E12),NºAsuntos!G12/NºAsuntos!E12," - ")</f>
        <v>0.80977683315621674</v>
      </c>
      <c r="AM12" s="265">
        <f>IF(ISNUMBER(((NºAsuntos!I12/NºAsuntos!G12)*11)/factor_trimestre),((NºAsuntos!I12/NºAsuntos!G12)*11)/factor_trimestre," - ")</f>
        <v>10.681102362204724</v>
      </c>
      <c r="AN12" s="249">
        <f>IF(ISNUMBER('Resol  Asuntos'!D12/NºAsuntos!G12),'Resol  Asuntos'!D12/NºAsuntos!G12," - ")</f>
        <v>0.20341207349081364</v>
      </c>
      <c r="AO12" s="250">
        <f>IF(ISNUMBER((NºAsuntos!C12+NºAsuntos!E12)/NºAsuntos!G12),(NºAsuntos!C12+NºAsuntos!E12)/NºAsuntos!G12," - ")</f>
        <v>4.5984251968503935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34</v>
      </c>
      <c r="G14" s="1013">
        <f t="shared" si="5"/>
        <v>34</v>
      </c>
      <c r="H14" s="1012">
        <f t="shared" si="5"/>
        <v>0</v>
      </c>
      <c r="I14" s="1014">
        <f t="shared" si="5"/>
        <v>0</v>
      </c>
      <c r="J14" s="1014">
        <f t="shared" si="5"/>
        <v>0</v>
      </c>
      <c r="K14" s="1014">
        <f t="shared" si="5"/>
        <v>0</v>
      </c>
      <c r="L14" s="1014">
        <f t="shared" si="5"/>
        <v>251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v>
      </c>
      <c r="X14" s="1014">
        <f t="shared" si="6"/>
        <v>208</v>
      </c>
      <c r="Y14" s="1015">
        <f t="shared" si="6"/>
        <v>217</v>
      </c>
      <c r="Z14" s="1015">
        <f t="shared" si="6"/>
        <v>0</v>
      </c>
      <c r="AA14" s="1015">
        <f t="shared" si="6"/>
        <v>44</v>
      </c>
      <c r="AB14" s="1015">
        <f t="shared" si="6"/>
        <v>3784</v>
      </c>
      <c r="AC14" s="1015">
        <f t="shared" si="6"/>
        <v>67</v>
      </c>
      <c r="AD14" s="1015">
        <f t="shared" si="6"/>
        <v>0</v>
      </c>
      <c r="AE14" s="1019">
        <f t="shared" si="6"/>
        <v>0</v>
      </c>
      <c r="AF14" s="1012">
        <f t="shared" si="6"/>
        <v>0</v>
      </c>
      <c r="AG14" s="1020">
        <f t="shared" si="6"/>
        <v>0</v>
      </c>
      <c r="AH14" s="1017">
        <f t="shared" si="6"/>
        <v>0</v>
      </c>
      <c r="AI14" s="1012">
        <f t="shared" si="6"/>
        <v>159</v>
      </c>
      <c r="AJ14" s="1014">
        <f t="shared" si="6"/>
        <v>0</v>
      </c>
      <c r="AK14" s="1017">
        <f>SUBTOTAL(9,AK9:AK13)</f>
        <v>0</v>
      </c>
      <c r="AL14" s="1021">
        <f>IF(ISNUMBER(NºAsuntos!G14/NºAsuntos!E14),NºAsuntos!G14/NºAsuntos!E14," - ")</f>
        <v>0.80312499999999998</v>
      </c>
      <c r="AM14" s="1021">
        <f>IF(ISNUMBER(((NºAsuntos!I14/NºAsuntos!G14)*11)/factor_trimestre),((NºAsuntos!I14/NºAsuntos!G14)*11)/factor_trimestre," - ")</f>
        <v>10.72762645914397</v>
      </c>
      <c r="AN14" s="1022">
        <f>IF(ISNUMBER('Resol  Asuntos'!D14/NºAsuntos!G14),'Resol  Asuntos'!D14/NºAsuntos!G14," - ")</f>
        <v>0.20622568093385213</v>
      </c>
      <c r="AO14" s="1023">
        <f>IF(ISNUMBER((NºAsuntos!C14+NºAsuntos!E14)/NºAsuntos!G14),(NºAsuntos!C14+NºAsuntos!E14)/NºAsuntos!G14," - ")</f>
        <v>4.6134889753566792</v>
      </c>
      <c r="AP14" s="1024" t="str">
        <f t="shared" si="2"/>
        <v xml:space="preserve"> - </v>
      </c>
      <c r="AQ14" s="1024">
        <f>IF(ISNUMBER((H14-W14+K14)/(F14)),(H14-W14+K14)/(F14)," - ")</f>
        <v>-0.26470588235294118</v>
      </c>
      <c r="AR14" s="1025">
        <f>IF(ISNUMBER((Datos!P14-Datos!Q14)/(Datos!R14-Datos!P14+Datos!Q14)),(Datos!P14-Datos!Q14)/(Datos!R14-Datos!P14+Datos!Q14)," - ")</f>
        <v>1.1494252873563218E-2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1779</v>
      </c>
      <c r="G17" s="343">
        <f>IF(ISNUMBER(IF(D_I="SI",Datos!I17,Datos!I17+Datos!AC17)),IF(D_I="SI",Datos!I17,Datos!I17+Datos!AC17)," - ")</f>
        <v>1785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1181</v>
      </c>
      <c r="X17" s="231">
        <f>IF(ISNUMBER(Datos!Q17),Datos!Q17," - ")</f>
        <v>36</v>
      </c>
      <c r="Y17" s="344">
        <f t="shared" ref="Y17:Y19" si="9">SUM(W17:X17)</f>
        <v>1217</v>
      </c>
      <c r="Z17" s="345" t="str">
        <f>IF(ISNUMBER(Datos!CC17),Datos!CC17," - ")</f>
        <v xml:space="preserve"> - </v>
      </c>
      <c r="AA17" s="342">
        <f>IF(ISNUMBER(IF(D_I="SI",Datos!L17,Datos!L17+Datos!AF17)),IF(D_I="SI",Datos!L17,Datos!L17+Datos!AF17)," - ")</f>
        <v>1757</v>
      </c>
      <c r="AB17" s="344">
        <f>IF(ISNUMBER(Datos!R17),Datos!R17," - ")</f>
        <v>193</v>
      </c>
      <c r="AC17" s="344">
        <f t="shared" si="8"/>
        <v>1950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113</v>
      </c>
      <c r="AJ17" s="236" t="str">
        <f>IF(ISNUMBER(Datos!BW17),Datos!BW17," - ")</f>
        <v xml:space="preserve"> - </v>
      </c>
      <c r="AK17" s="237" t="str">
        <f>IF(ISNUMBER(Datos!BX17),Datos!BX17," - ")</f>
        <v xml:space="preserve"> - </v>
      </c>
      <c r="AL17" s="248">
        <f>IF(ISNUMBER(NºAsuntos!G17/NºAsuntos!E17),NºAsuntos!G17/NºAsuntos!E17," - ")</f>
        <v>1.0189818809318378</v>
      </c>
      <c r="AM17" s="265">
        <f>IF(ISNUMBER(((NºAsuntos!I17/NºAsuntos!G17)*11)/factor_trimestre),((NºAsuntos!I17/NºAsuntos!G17)*11)/factor_trimestre," - ")</f>
        <v>4.4631668077900084</v>
      </c>
      <c r="AN17" s="249">
        <f>IF(ISNUMBER('Resol  Asuntos'!D17/NºAsuntos!G17),'Resol  Asuntos'!D17/NºAsuntos!G17," - ")</f>
        <v>9.5681625740897544E-2</v>
      </c>
      <c r="AO17" s="250">
        <f>IF(ISNUMBER((NºAsuntos!C17+NºAsuntos!E17)/NºAsuntos!G17),(NºAsuntos!C17+NºAsuntos!E17)/NºAsuntos!G17," - ")</f>
        <v>2.4928027095681626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95</v>
      </c>
      <c r="X18" s="231">
        <f>IF(ISNUMBER(Datos!Q18),Datos!Q18," - ")</f>
        <v>1</v>
      </c>
      <c r="Y18" s="344">
        <f t="shared" si="9"/>
        <v>96</v>
      </c>
      <c r="Z18" s="345" t="str">
        <f>IF(ISNUMBER(Datos!CC18),Datos!CC18," - ")</f>
        <v xml:space="preserve"> - </v>
      </c>
      <c r="AA18" s="342">
        <f>IF(ISNUMBER(Datos!L18),Datos!L18,"-")</f>
        <v>276</v>
      </c>
      <c r="AB18" s="344">
        <f>IF(ISNUMBER(Datos!R18),Datos!R18," - ")</f>
        <v>20</v>
      </c>
      <c r="AC18" s="344">
        <f t="shared" si="8"/>
        <v>296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0.73076923076923073</v>
      </c>
      <c r="AM18" s="265">
        <f>IF(ISNUMBER(((NºAsuntos!I18/NºAsuntos!G18)*11)/factor_trimestre),((NºAsuntos!I18/NºAsuntos!G18)*11)/factor_trimestre," - ")</f>
        <v>8.715789473684211</v>
      </c>
      <c r="AN18" s="249">
        <f>IF(ISNUMBER('Resol  Asuntos'!D18/NºAsuntos!G18),'Resol  Asuntos'!D18/NºAsuntos!G18," - ")</f>
        <v>0.11578947368421053</v>
      </c>
      <c r="AO18" s="250">
        <f>IF(ISNUMBER((NºAsuntos!C18+NºAsuntos!E18)/NºAsuntos!G18),(NºAsuntos!C18+NºAsuntos!E18)/NºAsuntos!G18," - ")</f>
        <v>4.7894736842105265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1779</v>
      </c>
      <c r="G20" s="1013">
        <f>SUBTOTAL(9,G16:G19)</f>
        <v>2110</v>
      </c>
      <c r="H20" s="1012">
        <f t="shared" ref="H20:O20" si="12">SUBTOTAL(9,H15:H19)</f>
        <v>0</v>
      </c>
      <c r="I20" s="1014">
        <f t="shared" si="12"/>
        <v>0</v>
      </c>
      <c r="J20" s="1014">
        <f t="shared" si="12"/>
        <v>0</v>
      </c>
      <c r="K20" s="1014">
        <f t="shared" si="12"/>
        <v>0</v>
      </c>
      <c r="L20" s="1014">
        <f t="shared" si="12"/>
        <v>41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1276</v>
      </c>
      <c r="X20" s="1014">
        <f t="shared" si="13"/>
        <v>37</v>
      </c>
      <c r="Y20" s="1015">
        <f t="shared" si="13"/>
        <v>1313</v>
      </c>
      <c r="Z20" s="1015">
        <f t="shared" si="13"/>
        <v>0</v>
      </c>
      <c r="AA20" s="1015">
        <f t="shared" si="13"/>
        <v>2033</v>
      </c>
      <c r="AB20" s="1015">
        <f t="shared" si="13"/>
        <v>213</v>
      </c>
      <c r="AC20" s="1015">
        <f t="shared" si="13"/>
        <v>2246</v>
      </c>
      <c r="AD20" s="1015">
        <f t="shared" si="13"/>
        <v>0</v>
      </c>
      <c r="AE20" s="1019">
        <f t="shared" si="13"/>
        <v>0</v>
      </c>
      <c r="AF20" s="1012">
        <f t="shared" si="13"/>
        <v>0</v>
      </c>
      <c r="AG20" s="1020">
        <f t="shared" si="13"/>
        <v>0</v>
      </c>
      <c r="AH20" s="1017">
        <f t="shared" si="13"/>
        <v>0</v>
      </c>
      <c r="AI20" s="1012">
        <f t="shared" si="13"/>
        <v>124</v>
      </c>
      <c r="AJ20" s="1014">
        <f t="shared" si="13"/>
        <v>0</v>
      </c>
      <c r="AK20" s="1017">
        <f t="shared" si="13"/>
        <v>0</v>
      </c>
      <c r="AL20" s="1021">
        <f>IF(ISNUMBER(NºAsuntos!G20/NºAsuntos!E20),NºAsuntos!G20/NºAsuntos!E20," - ")</f>
        <v>0.98991466252909233</v>
      </c>
      <c r="AM20" s="1021">
        <f>IF(ISNUMBER(((NºAsuntos!I20/NºAsuntos!G20)*11)/factor_trimestre),((NºAsuntos!I20/NºAsuntos!G20)*11)/factor_trimestre," - ")</f>
        <v>4.7797805642633238</v>
      </c>
      <c r="AN20" s="1022">
        <f>IF(ISNUMBER('Resol  Asuntos'!D20/NºAsuntos!G20),'Resol  Asuntos'!D20/NºAsuntos!G20," - ")</f>
        <v>9.7178683385579931E-2</v>
      </c>
      <c r="AO20" s="1023">
        <f>IF(ISNUMBER((NºAsuntos!C20+NºAsuntos!E20)/NºAsuntos!G20),(NºAsuntos!C20+NºAsuntos!E20)/NºAsuntos!G20," - ")</f>
        <v>2.6637931034482758</v>
      </c>
      <c r="AP20" s="1024" t="str">
        <f t="shared" si="2"/>
        <v xml:space="preserve"> - </v>
      </c>
      <c r="AQ20" s="1024">
        <f>IF(ISNUMBER((H20-W20+K20)/(F20)),(H20-W20+K20)/(F20)," - ")</f>
        <v>-0.71725688589094994</v>
      </c>
      <c r="AR20" s="1025">
        <f>IF(ISNUMBER((Datos!P20-Datos!Q20)/(Datos!R20-Datos!P20+Datos!Q20)),(Datos!P20-Datos!Q20)/(Datos!R20-Datos!P20+Datos!Q20)," - ")</f>
        <v>1.9138755980861243E-2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1813</v>
      </c>
      <c r="G21" s="968">
        <f t="shared" si="15"/>
        <v>2144</v>
      </c>
      <c r="H21" s="967">
        <f t="shared" si="15"/>
        <v>0</v>
      </c>
      <c r="I21" s="969">
        <f t="shared" si="15"/>
        <v>0</v>
      </c>
      <c r="J21" s="969">
        <f t="shared" si="15"/>
        <v>0</v>
      </c>
      <c r="K21" s="1028">
        <f t="shared" si="15"/>
        <v>0</v>
      </c>
      <c r="L21" s="969">
        <f t="shared" si="15"/>
        <v>292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1285</v>
      </c>
      <c r="X21" s="968">
        <f t="shared" si="16"/>
        <v>245</v>
      </c>
      <c r="Y21" s="975">
        <f t="shared" si="16"/>
        <v>1530</v>
      </c>
      <c r="Z21" s="975">
        <f t="shared" si="16"/>
        <v>0</v>
      </c>
      <c r="AA21" s="975">
        <f t="shared" si="16"/>
        <v>2077</v>
      </c>
      <c r="AB21" s="975">
        <f t="shared" si="16"/>
        <v>3997</v>
      </c>
      <c r="AC21" s="975">
        <f t="shared" si="16"/>
        <v>2313</v>
      </c>
      <c r="AD21" s="975">
        <f t="shared" si="16"/>
        <v>0</v>
      </c>
      <c r="AE21" s="977">
        <f t="shared" si="16"/>
        <v>0</v>
      </c>
      <c r="AF21" s="978">
        <f t="shared" si="16"/>
        <v>0</v>
      </c>
      <c r="AG21" s="979">
        <f t="shared" si="16"/>
        <v>0</v>
      </c>
      <c r="AH21" s="977">
        <f t="shared" si="16"/>
        <v>0</v>
      </c>
      <c r="AI21" s="967">
        <f t="shared" si="16"/>
        <v>283</v>
      </c>
      <c r="AJ21" s="967">
        <f t="shared" si="16"/>
        <v>0</v>
      </c>
      <c r="AK21" s="977">
        <f t="shared" si="16"/>
        <v>0</v>
      </c>
      <c r="AL21" s="1031">
        <f>IF(ISNUMBER(NºAsuntos!G21/NºAsuntos!E21),NºAsuntos!G21/NºAsuntos!E21," - ")</f>
        <v>0.91018230324588711</v>
      </c>
      <c r="AM21" s="1032">
        <f>IF(ISNUMBER(((NºAsuntos!I21/NºAsuntos!G21)*11)/factor_trimestre),((NºAsuntos!I21/NºAsuntos!G21)*11)/factor_trimestre," - ")</f>
        <v>7.0200293111871037</v>
      </c>
      <c r="AN21" s="1032">
        <f>IF(ISNUMBER('Resol  Asuntos'!D21/NºAsuntos!G21),'Resol  Asuntos'!D21/NºAsuntos!G21," - ")</f>
        <v>0.13825109916951636</v>
      </c>
      <c r="AO21" s="1033">
        <f>IF(ISNUMBER((NºAsuntos!C21+NºAsuntos!E21)/NºAsuntos!G21),(NºAsuntos!C21+NºAsuntos!E21)/NºAsuntos!G21," - ")</f>
        <v>3.3981436248168051</v>
      </c>
      <c r="AP21" s="1034" t="str">
        <f t="shared" si="2"/>
        <v xml:space="preserve"> - </v>
      </c>
      <c r="AQ21" s="1035">
        <f>IF(OR(ISNUMBER(FIND("01",Criterios!A8,1)),ISNUMBER(FIND("02",Criterios!A8,1)),ISNUMBER(FIND("03",Criterios!A8,1)),ISNUMBER(FIND("04",Criterios!A8,1))),(I21-W21+K21)/(F21-K21),(H21-W21+K21)/(F21-K21))</f>
        <v>-0.70876999448428024</v>
      </c>
      <c r="AR21" s="1036">
        <f>IF(ISNUMBER((Datos!P21-Datos!Q21)/(Datos!R21-Datos!P21+Datos!Q21)),(Datos!P21-Datos!Q21)/(Datos!R21-Datos!P21+Datos!Q21)," - ")</f>
        <v>1.189873417721519E-2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857.6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1007.476219735897</v>
      </c>
      <c r="G23" s="258">
        <f>IF(ISNUMBER(STDEV(G8:G20)),STDEV(G8:G20),"-")</f>
        <v>1008.5724069198008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654.05351463011039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69.563400338588011</v>
      </c>
      <c r="AJ23" s="257">
        <f t="shared" si="20"/>
        <v>0</v>
      </c>
      <c r="AK23" s="259">
        <f t="shared" si="20"/>
        <v>0</v>
      </c>
      <c r="AL23" s="254">
        <f t="shared" si="20"/>
        <v>0.19762896018669934</v>
      </c>
      <c r="AM23" s="255">
        <f t="shared" si="20"/>
        <v>3.9088514527739329</v>
      </c>
      <c r="AN23" s="255">
        <f t="shared" si="20"/>
        <v>0.1327538795447159</v>
      </c>
      <c r="AO23" s="256">
        <f t="shared" si="20"/>
        <v>1.3266564656198203</v>
      </c>
      <c r="AP23" s="296" t="str">
        <f t="shared" si="20"/>
        <v>-</v>
      </c>
      <c r="AQ23" s="297">
        <f t="shared" si="20"/>
        <v>0.32000188343450314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ayHeo4+t2MmmXbPTqXcJBKM3Vu4Jjc2hcQdiILnZJbMRPd1t8C05YLlPemBeSA+1NGwc6jgvx3y/0Z7atx0lg==" saltValue="oeCpTDEwH5VD/NiQV8P4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AVILA</v>
      </c>
      <c r="E3" s="268"/>
    </row>
    <row r="4" spans="2:20" ht="17.25" customHeight="1" thickBot="1">
      <c r="D4" s="267" t="str">
        <f>Criterios!A11 &amp;"  "&amp;Criterios!B11</f>
        <v>Resumenes por Partidos Judiciales  AVILA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-0.38181818181818183</v>
      </c>
      <c r="E10" s="358">
        <f>IF(ISNUMBER((Datos!J10-Datos!T10)/Datos!T10),(Datos!J10-Datos!T10)/Datos!T10," - ")</f>
        <v>0.1875</v>
      </c>
      <c r="F10" s="358">
        <f>IF(ISNUMBER((Datos!K10-Datos!U10)/Datos!U10),(Datos!K10-Datos!U10)/Datos!U10," - ")</f>
        <v>-0.30769230769230771</v>
      </c>
      <c r="G10" s="359">
        <f>IF(ISNUMBER((Datos!L10-Datos!V10)/Datos!V10),(Datos!L10-Datos!V10)/Datos!V10," - ")</f>
        <v>-0.2413793103448276</v>
      </c>
      <c r="H10" s="235">
        <f>IF(ISNUMBER((Datos!M10-Datos!W10)/Datos!W10),(Datos!M10-Datos!W10)/Datos!W10," - ")</f>
        <v>-0.42857142857142855</v>
      </c>
      <c r="I10" s="360">
        <f>IF(ISNUMBER((Tasas!C10-Datos!BE10)/Datos!BE10),(Tasas!C10-Datos!BE10)/Datos!BE10," - ")</f>
        <v>9.5785440613026879E-2</v>
      </c>
      <c r="J10" s="359">
        <f>IF(ISNUMBER((Tasas!D10-Datos!BF10)/Datos!BF10),(Tasas!D10-Datos!BF10)/Datos!BF10," - ")</f>
        <v>-0.17460317460317462</v>
      </c>
      <c r="K10" s="361">
        <f>IF(ISNUMBER((Tasas!E10-Datos!BG10)/Datos!BG10),(Tasas!E10-Datos!BG10)/Datos!BG10," - ")</f>
        <v>7.8247261345852942E-2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-0.47278911564625853</v>
      </c>
      <c r="I12" s="360">
        <f>IF(ISNUMBER((Tasas!C12-Datos!BE12)/Datos!BE12),(Tasas!C12-Datos!BE12)/Datos!BE12," - ")</f>
        <v>0.75856906303419225</v>
      </c>
      <c r="J12" s="359">
        <f>IF(ISNUMBER((Tasas!D12-Datos!BF12)/Datos!BF12),(Tasas!D12-Datos!BF12)/Datos!BF12," - ")</f>
        <v>-0.455605055946954</v>
      </c>
      <c r="K12" s="361">
        <f>IF(ISNUMBER((Tasas!E12-Datos!BG12)/Datos!BG12),(Tasas!E12-Datos!BG12)/Datos!BG12," - ")</f>
        <v>0.52233021653543299</v>
      </c>
      <c r="M12" t="e">
        <f>IF(Monitorios="SI",Datos!CE12,0)</f>
        <v>#REF!</v>
      </c>
      <c r="N12" t="e">
        <f>IF(Monitorios="SI",Datos!CF12,0)</f>
        <v>#REF!</v>
      </c>
      <c r="O12" t="e">
        <f>IF(Monitorios="SI",Datos!CG12,0)</f>
        <v>#REF!</v>
      </c>
      <c r="P12" t="e">
        <f>IF(Monitorios="SI",Datos!CH12,0)</f>
        <v>#REF!</v>
      </c>
      <c r="Q12">
        <f>IF(J_V="SI",0,Datos!AG12)</f>
        <v>153</v>
      </c>
      <c r="R12">
        <f>IF(J_V="SI",0,Datos!AH12)</f>
        <v>109</v>
      </c>
      <c r="S12">
        <f>IF(J_V="SI",0,Datos!AI12)</f>
        <v>128</v>
      </c>
      <c r="T12">
        <f>IF(J_V="SI",0,Datos!AJ12)</f>
        <v>116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-0.47176079734219267</v>
      </c>
      <c r="I14" s="367">
        <f>IF(ISNUMBER((Tasas!C14-Datos!BE14)/Datos!BE14),(Tasas!C14-Datos!BE14)/Datos!BE14," - ")</f>
        <v>0.73979770948170198</v>
      </c>
      <c r="J14" s="365">
        <f>IF(ISNUMBER((Tasas!D14-Datos!BF14)/Datos!BF14),(Tasas!D14-Datos!BF14)/Datos!BF14," - ")</f>
        <v>-0.45113061663600074</v>
      </c>
      <c r="K14" s="368">
        <f>IF(ISNUMBER((Tasas!E14-Datos!BG14)/Datos!BG14),(Tasas!E14-Datos!BG14)/Datos!BG14," - ")</f>
        <v>0.51189743704020985</v>
      </c>
      <c r="M14" t="e">
        <f>IF(Monitorios="SI",Datos!CE14,0)</f>
        <v>#REF!</v>
      </c>
      <c r="N14" t="e">
        <f>IF(Monitorios="SI",Datos!CF14,0)</f>
        <v>#REF!</v>
      </c>
      <c r="O14" t="e">
        <f>IF(Monitorios="SI",Datos!CG14,0)</f>
        <v>#REF!</v>
      </c>
      <c r="P14" t="e">
        <f>IF(Monitorios="SI",Datos!CH14,0)</f>
        <v>#REF!</v>
      </c>
      <c r="Q14">
        <f>IF(J_V="SI",0,Datos!AG14)</f>
        <v>153</v>
      </c>
      <c r="R14">
        <f>IF(J_V="SI",0,Datos!AH14)</f>
        <v>109</v>
      </c>
      <c r="S14">
        <f>IF(J_V="SI",0,Datos!AI14)</f>
        <v>128</v>
      </c>
      <c r="T14">
        <f>IF(J_V="SI",0,Datos!AJ14)</f>
        <v>116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0.3667687595712098</v>
      </c>
      <c r="E17" s="358">
        <f>IF(ISNUMBER(
   IF(D_I="SI",(Datos!J17-Datos!T17)/Datos!T17,(Datos!J17+Datos!AD17-(Datos!T17+Datos!AL17))/(Datos!T17+Datos!AL17))
     ),IF(D_I="SI",(Datos!J17-Datos!T17)/Datos!T17,(Datos!J17+Datos!AD17-(Datos!T17+Datos!AL17))/(Datos!T17+Datos!AL17))," - ")</f>
        <v>0.15438247011952191</v>
      </c>
      <c r="F17" s="358">
        <f>IF(ISNUMBER(
   IF(D_I="SI",(Datos!K17-Datos!U17)/Datos!U17,(Datos!K17+Datos!AE17-(Datos!U17+Datos!AM17))/(Datos!U17+Datos!AM17))
     ),IF(D_I="SI",(Datos!K17-Datos!U17)/Datos!U17,(Datos!K17+Datos!AE17-(Datos!U17+Datos!AM17))/(Datos!U17+Datos!AM17))," - ")</f>
        <v>0.30786267995570321</v>
      </c>
      <c r="G17" s="359">
        <f>IF(ISNUMBER(
   IF(D_I="SI",(Datos!L17-Datos!V17)/Datos!V17,(Datos!L17+Datos!AF17-(Datos!V17+Datos!AN17))/(Datos!V17+Datos!AN17))
     ),IF(D_I="SI",(Datos!L17-Datos!V17)/Datos!V17,(Datos!L17+Datos!AF17-(Datos!V17+Datos!AN17))/(Datos!V17+Datos!AN17))," - ")</f>
        <v>0.31906906906906907</v>
      </c>
      <c r="H17" s="235">
        <f>IF(ISNUMBER((Datos!M17-Datos!W17)/Datos!W17),(Datos!M17-Datos!W17)/Datos!W17," - ")</f>
        <v>-0.25165562913907286</v>
      </c>
      <c r="I17" s="360">
        <f>IF(ISNUMBER((Tasas!C17-Datos!BE17)/Datos!BE17),(Tasas!C17-Datos!BE17)/Datos!BE17," - ")</f>
        <v>8.5684753339283493E-3</v>
      </c>
      <c r="J17" s="359">
        <f>IF(ISNUMBER((Tasas!D17-Datos!BF17)/Datos!BF17),(Tasas!D17-Datos!BF17)/Datos!BF17," - ")</f>
        <v>-0.42781120500642067</v>
      </c>
      <c r="K17" s="361">
        <f>IF(ISNUMBER((Tasas!E17-Datos!BG17)/Datos!BG17),(Tasas!E17-Datos!BG17)/Datos!BG17," - ")</f>
        <v>-2.554075898699101E-2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0.54761904761904767</v>
      </c>
      <c r="E18" s="358">
        <f>IF(ISNUMBER(
   IF(D_I="SI",(Datos!J18-Datos!T18)/Datos!T18,(Datos!J18+Datos!AD18-(Datos!T18+Datos!AL18))/(Datos!T18+Datos!AL18))
     ),IF(D_I="SI",(Datos!J18-Datos!T18)/Datos!T18,(Datos!J18+Datos!AD18-(Datos!T18+Datos!AL18))/(Datos!T18+Datos!AL18))," - ")</f>
        <v>0.4606741573033708</v>
      </c>
      <c r="F18" s="358">
        <f>IF(ISNUMBER(
   IF(D_I="SI",(Datos!K18-Datos!U18)/Datos!U18,(Datos!K18+Datos!AE18-(Datos!U18+Datos!AM18))/(Datos!U18+Datos!AM18))
     ),IF(D_I="SI",(Datos!K18-Datos!U18)/Datos!U18,(Datos!K18+Datos!AE18-(Datos!U18+Datos!AM18))/(Datos!U18+Datos!AM18))," - ")</f>
        <v>1.0638297872340425E-2</v>
      </c>
      <c r="G18" s="359">
        <f>IF(ISNUMBER(
   IF(D_I="SI",(Datos!L18-Datos!V18)/Datos!V18,(Datos!L18+Datos!AF18-(Datos!V18+Datos!AN18))/(Datos!V18+Datos!AN18))
     ),IF(D_I="SI",(Datos!L18-Datos!V18)/Datos!V18,(Datos!L18+Datos!AF18-(Datos!V18+Datos!AN18))/(Datos!V18+Datos!AN18))," - ")</f>
        <v>0.33980582524271846</v>
      </c>
      <c r="H18" s="235">
        <f>IF(ISNUMBER((Datos!M18-Datos!W18)/Datos!W18),(Datos!M18-Datos!W18)/Datos!W18," - ")</f>
        <v>1.2</v>
      </c>
      <c r="I18" s="360">
        <f>IF(ISNUMBER((Tasas!C18-Datos!BE18)/Datos!BE18),(Tasas!C18-Datos!BE18)/Datos!BE18," - ")</f>
        <v>0.3257026060296373</v>
      </c>
      <c r="J18" s="359">
        <f>IF(ISNUMBER((Tasas!D18-Datos!BF18)/Datos!BF18),(Tasas!D18-Datos!BF18)/Datos!BF18," - ")</f>
        <v>1.1768421052631579</v>
      </c>
      <c r="K18" s="361">
        <f>IF(ISNUMBER((Tasas!E18-Datos!BG18)/Datos!BG18),(Tasas!E18-Datos!BG18)/Datos!BG18," - ")</f>
        <v>0.50572082379862704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0.39182058047493401</v>
      </c>
      <c r="E20" s="364">
        <f>IF(ISNUMBER(
   IF(D_I="SI",(Datos!J20-Datos!T20)/Datos!T20,(Datos!J20+Datos!AD20-(Datos!T20+Datos!AL20))/(Datos!T20+Datos!AL20))
     ),IF(D_I="SI",(Datos!J20-Datos!T20)/Datos!T20,(Datos!J20+Datos!AD20-(Datos!T20+Datos!AL20))/(Datos!T20+Datos!AL20))," - ")</f>
        <v>0.17932296431838976</v>
      </c>
      <c r="F20" s="364">
        <f>IF(ISNUMBER(
   IF(D_I="SI",(Datos!K20-Datos!U20)/Datos!U20,(Datos!K20+Datos!AE20-(Datos!U20+Datos!AM20))/(Datos!U20+Datos!AM20))
     ),IF(D_I="SI",(Datos!K20-Datos!U20)/Datos!U20,(Datos!K20+Datos!AE20-(Datos!U20+Datos!AM20))/(Datos!U20+Datos!AM20))," - ")</f>
        <v>0.27983951855566702</v>
      </c>
      <c r="G20" s="365">
        <f>IF(ISNUMBER(
   IF(D_I="SI",(Datos!L20-Datos!V20)/Datos!V20,(Datos!L20+Datos!AF20-(Datos!V20+Datos!AN20))/(Datos!V20+Datos!AN20))
     ),IF(D_I="SI",(Datos!L20-Datos!V20)/Datos!V20,(Datos!L20+Datos!AF20-(Datos!V20+Datos!AN20))/(Datos!V20+Datos!AN20))," - ")</f>
        <v>0.32184655396618983</v>
      </c>
      <c r="H20" s="366">
        <f>IF(ISNUMBER((Datos!M20-Datos!W20)/Datos!W20),(Datos!M20-Datos!W20)/Datos!W20," - ")</f>
        <v>-0.20512820512820512</v>
      </c>
      <c r="I20" s="367">
        <f>IF(ISNUMBER((Tasas!C20-Datos!BE20)/Datos!BE20),(Tasas!C20-Datos!BE20)/Datos!BE20," - ")</f>
        <v>3.2822111523739324E-2</v>
      </c>
      <c r="J20" s="365">
        <f>IF(ISNUMBER((Tasas!D20-Datos!BF20)/Datos!BF20),(Tasas!D20-Datos!BF20)/Datos!BF20," - ")</f>
        <v>-0.37892854272164628</v>
      </c>
      <c r="K20" s="368">
        <f>IF(ISNUMBER((Tasas!E20-Datos!BG20)/Datos!BG20),(Tasas!E20-Datos!BG20)/Datos!BG20," - ")</f>
        <v>1.7938568086596839E-2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0.28186274509803921</v>
      </c>
      <c r="E21" s="373">
        <f>IF(ISNUMBER(
   IF(J_V="SI",(Datos!J21-Datos!T21)/Datos!T21,(Datos!J21+Datos!Z21-(Datos!T21+Datos!AH21))/(Datos!T21+Datos!AH21))
     ),IF(J_V="SI",(Datos!J21-Datos!T21)/Datos!T21,(Datos!J21+Datos!Z21-(Datos!T21+Datos!AH21))/(Datos!T21+Datos!AH21))," - ")</f>
        <v>8.1250000000000003E-2</v>
      </c>
      <c r="F21" s="373">
        <f>IF(ISNUMBER(
   IF(J_V="SI",(Datos!K21-Datos!U21)/Datos!U21,(Datos!K21+Datos!AA21-(Datos!U21+Datos!AI21))/(Datos!U21+Datos!AI21))
     ),IF(J_V="SI",(Datos!K21-Datos!U21)/Datos!U21,(Datos!K21+Datos!AA21-(Datos!U21+Datos!AI21))/(Datos!U21+Datos!AI21))," - ")</f>
        <v>9.8667982239763197E-3</v>
      </c>
      <c r="G21" s="374">
        <f>IF(ISNUMBER(
   IF(J_V="SI",(Datos!L21-Datos!V21)/Datos!V21,(Datos!L21+Datos!AB21-(Datos!V21+Datos!AJ21))/(Datos!V21+Datos!AJ21))
     ),IF(J_V="SI",(Datos!L21-Datos!V21)/Datos!V21,(Datos!L21+Datos!AB21-(Datos!V21+Datos!AJ21))/(Datos!V21+Datos!AJ21))," - ")</f>
        <v>0.31053351573187415</v>
      </c>
      <c r="H21" s="375">
        <f>IF(ISNUMBER((Datos!M21-Datos!W21)/Datos!W21),(Datos!M21-Datos!W21)/Datos!W21," - ")</f>
        <v>-0.38074398249452956</v>
      </c>
      <c r="I21" s="372">
        <f>IF(ISNUMBER((Tasas!C21-Datos!BE21)/Datos!BE21),(Tasas!C21-Datos!BE21)/Datos!BE21," - ")</f>
        <v>0.29772908470371728</v>
      </c>
      <c r="J21" s="373">
        <f>IF(ISNUMBER((Tasas!D21-Datos!BF21)/Datos!BF21),(Tasas!D21-Datos!BF21)/Datos!BF21," - ")</f>
        <v>-0.48391348431563597</v>
      </c>
      <c r="K21" s="374">
        <f>IF(ISNUMBER((Tasas!E21-Datos!BG21)/Datos!BG21),(Tasas!E21-Datos!BG21)/Datos!BG21," - ")</f>
        <v>0.19750297766058136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0.41636927616271263</v>
      </c>
      <c r="E23" s="283">
        <f t="shared" si="1"/>
        <v>0.14415930846324548</v>
      </c>
      <c r="F23" s="283">
        <f t="shared" si="1"/>
        <v>0.28679738669905119</v>
      </c>
      <c r="G23" s="284">
        <f t="shared" si="1"/>
        <v>0.28429183728289564</v>
      </c>
      <c r="H23" s="290">
        <f t="shared" si="1"/>
        <v>0.64946736868983068</v>
      </c>
      <c r="I23" s="282">
        <f t="shared" si="1"/>
        <v>0.34584818400352302</v>
      </c>
      <c r="J23" s="283">
        <f t="shared" si="1"/>
        <v>0.64324771586414653</v>
      </c>
      <c r="K23" s="284">
        <f t="shared" si="1"/>
        <v>0.27032679725381098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Sd5W6sN2C9zNefilm0XNTIMLrmFhsx4ZTESaAl8AjndiD/FRmTpOAcpDdh0wxZZEkptubT2AmTaPobkax5L0Q==" saltValue="ICDqFIp8Z6YngRowIqTCZ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